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60" yWindow="-60" windowWidth="15480" windowHeight="11025" tabRatio="804" firstSheet="6" activeTab="6"/>
  </bookViews>
  <sheets>
    <sheet name="Kharif-2023" sheetId="14" state="hidden" r:id="rId1"/>
    <sheet name="Sheet2 (2)" sheetId="26" state="hidden" r:id="rId2"/>
    <sheet name="Consolidated Rabi -24" sheetId="32" state="hidden" r:id="rId3"/>
    <sheet name="Sheet2" sheetId="28" state="hidden" r:id="rId4"/>
    <sheet name="Sheet3" sheetId="29" state="hidden" r:id="rId5"/>
    <sheet name="Consolidated Rabi -24 (3)" sheetId="34" state="hidden" r:id="rId6"/>
    <sheet name="Consolidated Kharif-2024" sheetId="35" r:id="rId7"/>
    <sheet name="Soyabean -24" sheetId="36" state="hidden" r:id="rId8"/>
    <sheet name="Soyabean -24 (2)" sheetId="38" state="hidden" r:id="rId9"/>
    <sheet name="Soyabean -24 (3)" sheetId="39" state="hidden" r:id="rId10"/>
    <sheet name="Consolidated Kharif -23 " sheetId="16" state="hidden" r:id="rId11"/>
  </sheets>
  <definedNames>
    <definedName name="_xlnm._FilterDatabase" localSheetId="10" hidden="1">'Consolidated Kharif -23 '!$D$6:$H$57</definedName>
    <definedName name="_xlnm._FilterDatabase" localSheetId="6" hidden="1">'Consolidated Kharif-2024'!$D$5:$D$61</definedName>
    <definedName name="_xlnm._FilterDatabase" localSheetId="2" hidden="1">'Consolidated Rabi -24'!$D$14:$H$57</definedName>
    <definedName name="_xlnm._FilterDatabase" localSheetId="5" hidden="1">'Consolidated Rabi -24 (3)'!$D$5:$H$11</definedName>
    <definedName name="_xlnm._FilterDatabase" localSheetId="7" hidden="1">'Soyabean -24'!$B$4:$D$12</definedName>
    <definedName name="_xlnm._FilterDatabase" localSheetId="8" hidden="1">'Soyabean -24 (2)'!$B$4:$D$16</definedName>
    <definedName name="_xlnm._FilterDatabase" localSheetId="9" hidden="1">'Soyabean -24 (3)'!$B$4:$D$12</definedName>
    <definedName name="_xlnm.Print_Area" localSheetId="10">'Consolidated Kharif -23 '!$B$2:$J$58</definedName>
    <definedName name="_xlnm.Print_Area" localSheetId="6">'Consolidated Kharif-2024'!$B$1:$G$61</definedName>
    <definedName name="_xlnm.Print_Area" localSheetId="2">'Consolidated Rabi -24'!$B$2:$K$64</definedName>
    <definedName name="_xlnm.Print_Area" localSheetId="5">'Consolidated Rabi -24 (3)'!$B$2:$K$11</definedName>
    <definedName name="_xlnm.Print_Area" localSheetId="0">'Kharif-2023'!$A$1:$S$74</definedName>
    <definedName name="_xlnm.Print_Area" localSheetId="7">'Soyabean -24'!$B$2:$P$23</definedName>
    <definedName name="_xlnm.Print_Area" localSheetId="8">'Soyabean -24 (2)'!$B$2:$P$27</definedName>
    <definedName name="_xlnm.Print_Area" localSheetId="9">'Soyabean -24 (3)'!$B$2:$M$13</definedName>
    <definedName name="_xlnm.Print_Titles" localSheetId="10">'Consolidated Kharif -23 '!$4:$4</definedName>
    <definedName name="_xlnm.Print_Titles" localSheetId="6">'Consolidated Kharif-2024'!$4:$4</definedName>
    <definedName name="_xlnm.Print_Titles" localSheetId="2">'Consolidated Rabi -24'!$4:$4</definedName>
    <definedName name="_xlnm.Print_Titles" localSheetId="5">'Consolidated Rabi -24 (3)'!$4:$4</definedName>
    <definedName name="_xlnm.Print_Titles" localSheetId="0">'Kharif-2023'!$6:$8</definedName>
    <definedName name="_xlnm.Print_Titles" localSheetId="7">'Soyabean -24'!$4:$4</definedName>
    <definedName name="_xlnm.Print_Titles" localSheetId="8">'Soyabean -24 (2)'!$4:$4</definedName>
    <definedName name="_xlnm.Print_Titles" localSheetId="9">'Soyabean -24 (3)'!$4:$4</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35"/>
  <c r="E25"/>
  <c r="F25"/>
  <c r="F45"/>
  <c r="G13" i="38"/>
  <c r="L13"/>
  <c r="L16" s="1"/>
  <c r="N10"/>
  <c r="N11"/>
  <c r="N12"/>
  <c r="K13"/>
  <c r="K16"/>
  <c r="J13"/>
  <c r="J16" s="1"/>
  <c r="H13"/>
  <c r="N9"/>
  <c r="H16"/>
  <c r="G16"/>
  <c r="I10"/>
  <c r="I11"/>
  <c r="I12"/>
  <c r="G6" i="39"/>
  <c r="K6" s="1"/>
  <c r="K12" s="1"/>
  <c r="K9"/>
  <c r="I12"/>
  <c r="H12"/>
  <c r="E12"/>
  <c r="O11"/>
  <c r="F11"/>
  <c r="K11"/>
  <c r="O10"/>
  <c r="F10" s="1"/>
  <c r="K10"/>
  <c r="O8"/>
  <c r="F8" s="1"/>
  <c r="K8"/>
  <c r="O7"/>
  <c r="F7" s="1"/>
  <c r="K7"/>
  <c r="N5" i="38"/>
  <c r="N6"/>
  <c r="N7"/>
  <c r="N8"/>
  <c r="N14"/>
  <c r="N15"/>
  <c r="R5"/>
  <c r="I5" s="1"/>
  <c r="R6"/>
  <c r="I6"/>
  <c r="R7"/>
  <c r="I7" s="1"/>
  <c r="R8"/>
  <c r="I8"/>
  <c r="R9"/>
  <c r="I9" s="1"/>
  <c r="I13" s="1"/>
  <c r="R14"/>
  <c r="I14"/>
  <c r="R15"/>
  <c r="I15" s="1"/>
  <c r="I27"/>
  <c r="H27"/>
  <c r="G27"/>
  <c r="E16"/>
  <c r="G23" i="36"/>
  <c r="H23"/>
  <c r="H12"/>
  <c r="G12"/>
  <c r="I23"/>
  <c r="L12"/>
  <c r="K12"/>
  <c r="J12"/>
  <c r="E12"/>
  <c r="R11"/>
  <c r="I11"/>
  <c r="N11"/>
  <c r="R10"/>
  <c r="I10"/>
  <c r="N10"/>
  <c r="R9"/>
  <c r="I9" s="1"/>
  <c r="N9"/>
  <c r="R8"/>
  <c r="I8" s="1"/>
  <c r="I12" s="1"/>
  <c r="N8"/>
  <c r="R7"/>
  <c r="I7"/>
  <c r="N7"/>
  <c r="R6"/>
  <c r="I6"/>
  <c r="N6"/>
  <c r="B3"/>
  <c r="N12"/>
  <c r="F38" i="35"/>
  <c r="E38"/>
  <c r="F15"/>
  <c r="E50"/>
  <c r="G51"/>
  <c r="E31"/>
  <c r="E15"/>
  <c r="E47"/>
  <c r="F47"/>
  <c r="G5" i="34"/>
  <c r="K5" s="1"/>
  <c r="H5"/>
  <c r="G6"/>
  <c r="K6" s="1"/>
  <c r="H6"/>
  <c r="G7"/>
  <c r="K7"/>
  <c r="H7"/>
  <c r="G8"/>
  <c r="K8" s="1"/>
  <c r="H8"/>
  <c r="G9"/>
  <c r="K9" s="1"/>
  <c r="H9"/>
  <c r="G10"/>
  <c r="K10" s="1"/>
  <c r="H10"/>
  <c r="N10"/>
  <c r="N9"/>
  <c r="N8"/>
  <c r="M8" s="1"/>
  <c r="N7"/>
  <c r="N6"/>
  <c r="N5"/>
  <c r="N11" s="1"/>
  <c r="B3"/>
  <c r="I11"/>
  <c r="J19"/>
  <c r="E11"/>
  <c r="B3" i="16"/>
  <c r="F10" i="34"/>
  <c r="F9"/>
  <c r="J48" i="32"/>
  <c r="J36"/>
  <c r="J41" s="1"/>
  <c r="G60" s="1"/>
  <c r="G61" s="1"/>
  <c r="M36"/>
  <c r="F36"/>
  <c r="M35"/>
  <c r="M26"/>
  <c r="F26" s="1"/>
  <c r="M25"/>
  <c r="F25" s="1"/>
  <c r="F27" s="1"/>
  <c r="M20"/>
  <c r="F20"/>
  <c r="J26"/>
  <c r="M48"/>
  <c r="F48" s="1"/>
  <c r="N12"/>
  <c r="J12"/>
  <c r="H12"/>
  <c r="G12"/>
  <c r="M11"/>
  <c r="F11" s="1"/>
  <c r="M10"/>
  <c r="F10" s="1"/>
  <c r="M9"/>
  <c r="F9" s="1"/>
  <c r="M8"/>
  <c r="F8" s="1"/>
  <c r="M7"/>
  <c r="F7" s="1"/>
  <c r="M6"/>
  <c r="F6" s="1"/>
  <c r="I71"/>
  <c r="E34"/>
  <c r="M40"/>
  <c r="F40"/>
  <c r="M15"/>
  <c r="F15"/>
  <c r="F24" s="1"/>
  <c r="M16"/>
  <c r="F16"/>
  <c r="M17"/>
  <c r="F17"/>
  <c r="M18"/>
  <c r="F18"/>
  <c r="M19"/>
  <c r="F19"/>
  <c r="M21"/>
  <c r="F21"/>
  <c r="M52"/>
  <c r="F52" s="1"/>
  <c r="F53" s="1"/>
  <c r="F54" s="1"/>
  <c r="F55" s="1"/>
  <c r="J52"/>
  <c r="J53" s="1"/>
  <c r="J54" s="1"/>
  <c r="G53"/>
  <c r="G54"/>
  <c r="H53"/>
  <c r="H54"/>
  <c r="F62" s="1"/>
  <c r="H24"/>
  <c r="F59" s="1"/>
  <c r="H27"/>
  <c r="H41"/>
  <c r="H43"/>
  <c r="F60" s="1"/>
  <c r="H45"/>
  <c r="I53"/>
  <c r="J43"/>
  <c r="J16"/>
  <c r="J39"/>
  <c r="J38"/>
  <c r="J40"/>
  <c r="M38"/>
  <c r="F38"/>
  <c r="M39"/>
  <c r="F39"/>
  <c r="F43"/>
  <c r="G43"/>
  <c r="G46" s="1"/>
  <c r="G41"/>
  <c r="E60" s="1"/>
  <c r="G45"/>
  <c r="E41"/>
  <c r="E53"/>
  <c r="E54" s="1"/>
  <c r="E50"/>
  <c r="E45"/>
  <c r="E43"/>
  <c r="E30"/>
  <c r="E27"/>
  <c r="E24"/>
  <c r="J37"/>
  <c r="J21"/>
  <c r="M37"/>
  <c r="F37"/>
  <c r="G24"/>
  <c r="I55"/>
  <c r="G34"/>
  <c r="G30"/>
  <c r="G27"/>
  <c r="J44"/>
  <c r="J45"/>
  <c r="J35"/>
  <c r="J31"/>
  <c r="J34"/>
  <c r="J28"/>
  <c r="J30"/>
  <c r="J25"/>
  <c r="J27"/>
  <c r="J15"/>
  <c r="J24"/>
  <c r="M44"/>
  <c r="F44" s="1"/>
  <c r="F45" s="1"/>
  <c r="F46" s="1"/>
  <c r="E26" i="16"/>
  <c r="H34" i="32"/>
  <c r="F31"/>
  <c r="F34"/>
  <c r="H30"/>
  <c r="G59"/>
  <c r="F28"/>
  <c r="F30"/>
  <c r="F35"/>
  <c r="E59"/>
  <c r="E61" s="1"/>
  <c r="L36" i="16"/>
  <c r="G31"/>
  <c r="E39"/>
  <c r="E43" s="1"/>
  <c r="E41"/>
  <c r="E36"/>
  <c r="E31"/>
  <c r="D54"/>
  <c r="E13"/>
  <c r="D53" s="1"/>
  <c r="D55" s="1"/>
  <c r="E21"/>
  <c r="J22"/>
  <c r="J26" s="1"/>
  <c r="H26"/>
  <c r="G26"/>
  <c r="G13"/>
  <c r="G21"/>
  <c r="E53"/>
  <c r="E55" s="1"/>
  <c r="G41"/>
  <c r="G36"/>
  <c r="G39"/>
  <c r="E54"/>
  <c r="F22"/>
  <c r="F26" s="1"/>
  <c r="K11"/>
  <c r="F11" s="1"/>
  <c r="K6"/>
  <c r="F6" s="1"/>
  <c r="H39"/>
  <c r="H36"/>
  <c r="H41"/>
  <c r="H31"/>
  <c r="F54"/>
  <c r="H21"/>
  <c r="H13"/>
  <c r="F53" s="1"/>
  <c r="F55" s="1"/>
  <c r="J37"/>
  <c r="J39"/>
  <c r="J35"/>
  <c r="J33"/>
  <c r="J32"/>
  <c r="J36" s="1"/>
  <c r="J34"/>
  <c r="J28"/>
  <c r="J29"/>
  <c r="J27"/>
  <c r="J30"/>
  <c r="J31"/>
  <c r="J15"/>
  <c r="J16"/>
  <c r="J17"/>
  <c r="J18"/>
  <c r="J21" s="1"/>
  <c r="J14"/>
  <c r="J6"/>
  <c r="J7"/>
  <c r="J13" s="1"/>
  <c r="J8"/>
  <c r="J9"/>
  <c r="J10"/>
  <c r="J11"/>
  <c r="J12"/>
  <c r="K37"/>
  <c r="F37" s="1"/>
  <c r="F39" s="1"/>
  <c r="K35"/>
  <c r="F35"/>
  <c r="K34"/>
  <c r="F34"/>
  <c r="K33"/>
  <c r="F33"/>
  <c r="K32"/>
  <c r="F32"/>
  <c r="K30"/>
  <c r="F30"/>
  <c r="K29"/>
  <c r="F29"/>
  <c r="K28"/>
  <c r="F28"/>
  <c r="K27"/>
  <c r="F27"/>
  <c r="K15"/>
  <c r="F15"/>
  <c r="K16"/>
  <c r="F16"/>
  <c r="K17"/>
  <c r="F17"/>
  <c r="K18"/>
  <c r="F18"/>
  <c r="K7"/>
  <c r="F7"/>
  <c r="K8"/>
  <c r="F8"/>
  <c r="K9"/>
  <c r="F9"/>
  <c r="K10"/>
  <c r="F10"/>
  <c r="K12"/>
  <c r="F12"/>
  <c r="D38" i="14"/>
  <c r="J63"/>
  <c r="J64"/>
  <c r="J65"/>
  <c r="J67" s="1"/>
  <c r="J66"/>
  <c r="R63"/>
  <c r="Q63"/>
  <c r="Q67" s="1"/>
  <c r="P63"/>
  <c r="O63"/>
  <c r="N15"/>
  <c r="N29"/>
  <c r="N63" s="1"/>
  <c r="N34"/>
  <c r="M15"/>
  <c r="M29"/>
  <c r="M63" s="1"/>
  <c r="M67" s="1"/>
  <c r="M74" s="1"/>
  <c r="M34"/>
  <c r="L63"/>
  <c r="L64"/>
  <c r="L67" s="1"/>
  <c r="L65"/>
  <c r="L66"/>
  <c r="K63"/>
  <c r="K64"/>
  <c r="K65"/>
  <c r="K66"/>
  <c r="K67"/>
  <c r="J58"/>
  <c r="J61" s="1"/>
  <c r="J59"/>
  <c r="J70"/>
  <c r="J72" s="1"/>
  <c r="J71"/>
  <c r="F15"/>
  <c r="F29"/>
  <c r="F63" s="1"/>
  <c r="F67" s="1"/>
  <c r="F34"/>
  <c r="F37"/>
  <c r="F14"/>
  <c r="F20"/>
  <c r="F24"/>
  <c r="F33"/>
  <c r="F64"/>
  <c r="F25"/>
  <c r="F65"/>
  <c r="F17"/>
  <c r="F66"/>
  <c r="D63"/>
  <c r="D64"/>
  <c r="D65"/>
  <c r="D67" s="1"/>
  <c r="D66"/>
  <c r="D58"/>
  <c r="D59"/>
  <c r="D61" s="1"/>
  <c r="D70"/>
  <c r="D71"/>
  <c r="D72"/>
  <c r="K38"/>
  <c r="L38"/>
  <c r="M36"/>
  <c r="M38"/>
  <c r="O38"/>
  <c r="P38"/>
  <c r="R38"/>
  <c r="J38"/>
  <c r="F36"/>
  <c r="F38"/>
  <c r="Q49"/>
  <c r="G38" i="26"/>
  <c r="Q44" i="14"/>
  <c r="Q46"/>
  <c r="Q17"/>
  <c r="Q18"/>
  <c r="Q39" s="1"/>
  <c r="Q11"/>
  <c r="Q21"/>
  <c r="Q16"/>
  <c r="Q26"/>
  <c r="Q30"/>
  <c r="Q35"/>
  <c r="P58"/>
  <c r="O58"/>
  <c r="L58"/>
  <c r="L59"/>
  <c r="L61"/>
  <c r="K58"/>
  <c r="K61" s="1"/>
  <c r="K74" s="1"/>
  <c r="K59"/>
  <c r="Q36"/>
  <c r="Q58" s="1"/>
  <c r="Q61" s="1"/>
  <c r="Q59"/>
  <c r="N36"/>
  <c r="N38" s="1"/>
  <c r="Q64"/>
  <c r="Q65"/>
  <c r="Q66"/>
  <c r="P64"/>
  <c r="O64"/>
  <c r="P65"/>
  <c r="P67" s="1"/>
  <c r="P66"/>
  <c r="P59"/>
  <c r="P61"/>
  <c r="P70"/>
  <c r="P72" s="1"/>
  <c r="P71"/>
  <c r="L35"/>
  <c r="J35"/>
  <c r="P35"/>
  <c r="O35"/>
  <c r="K35"/>
  <c r="D35"/>
  <c r="N33"/>
  <c r="M33"/>
  <c r="N32"/>
  <c r="M32"/>
  <c r="F32"/>
  <c r="N31"/>
  <c r="N35" s="1"/>
  <c r="M31"/>
  <c r="M35" s="1"/>
  <c r="F31"/>
  <c r="F35" s="1"/>
  <c r="O59"/>
  <c r="P30"/>
  <c r="O30"/>
  <c r="L30"/>
  <c r="N30" s="1"/>
  <c r="D30"/>
  <c r="K30"/>
  <c r="J30"/>
  <c r="N28"/>
  <c r="M28"/>
  <c r="F28"/>
  <c r="F30" s="1"/>
  <c r="F27"/>
  <c r="N27"/>
  <c r="M27"/>
  <c r="J40" i="16"/>
  <c r="J41"/>
  <c r="M24" i="14"/>
  <c r="N24"/>
  <c r="M25"/>
  <c r="M22"/>
  <c r="M23"/>
  <c r="M26"/>
  <c r="N25"/>
  <c r="N65"/>
  <c r="O66"/>
  <c r="L70"/>
  <c r="L72" s="1"/>
  <c r="L71"/>
  <c r="O65"/>
  <c r="O67"/>
  <c r="D26"/>
  <c r="P26"/>
  <c r="O26"/>
  <c r="L26"/>
  <c r="N26" s="1"/>
  <c r="K26"/>
  <c r="J26"/>
  <c r="E58"/>
  <c r="E59"/>
  <c r="N23"/>
  <c r="F23"/>
  <c r="F22"/>
  <c r="F26" s="1"/>
  <c r="N22"/>
  <c r="M9"/>
  <c r="M12"/>
  <c r="M58" s="1"/>
  <c r="M61" s="1"/>
  <c r="M19"/>
  <c r="M10"/>
  <c r="M13"/>
  <c r="M59" s="1"/>
  <c r="Q42"/>
  <c r="Q70"/>
  <c r="M20"/>
  <c r="M14"/>
  <c r="M64" s="1"/>
  <c r="N20"/>
  <c r="N64" s="1"/>
  <c r="N14"/>
  <c r="N17"/>
  <c r="N66"/>
  <c r="J16"/>
  <c r="J21"/>
  <c r="D21"/>
  <c r="P21"/>
  <c r="O21"/>
  <c r="L21"/>
  <c r="K21"/>
  <c r="N19"/>
  <c r="M21"/>
  <c r="F19"/>
  <c r="F21" s="1"/>
  <c r="I39" i="26"/>
  <c r="H39"/>
  <c r="F39"/>
  <c r="I38"/>
  <c r="H38"/>
  <c r="F38"/>
  <c r="I37"/>
  <c r="H37"/>
  <c r="F37"/>
  <c r="I36"/>
  <c r="H36"/>
  <c r="G36"/>
  <c r="F36"/>
  <c r="I35"/>
  <c r="H35"/>
  <c r="F35"/>
  <c r="E74" i="14"/>
  <c r="O16"/>
  <c r="P16"/>
  <c r="L16"/>
  <c r="K16"/>
  <c r="D16"/>
  <c r="Q51"/>
  <c r="Q52" s="1"/>
  <c r="O71"/>
  <c r="K71"/>
  <c r="O70"/>
  <c r="O72" s="1"/>
  <c r="O74" s="1"/>
  <c r="K70"/>
  <c r="K72" s="1"/>
  <c r="P52"/>
  <c r="O52"/>
  <c r="L52"/>
  <c r="N52" s="1"/>
  <c r="D52"/>
  <c r="K52"/>
  <c r="J52"/>
  <c r="N51"/>
  <c r="M51"/>
  <c r="M52" s="1"/>
  <c r="F51"/>
  <c r="F52" s="1"/>
  <c r="P50"/>
  <c r="O50"/>
  <c r="L50"/>
  <c r="N50" s="1"/>
  <c r="D50"/>
  <c r="K50"/>
  <c r="J50"/>
  <c r="N49"/>
  <c r="M49"/>
  <c r="M50" s="1"/>
  <c r="M42"/>
  <c r="M43" s="1"/>
  <c r="M44"/>
  <c r="L37" i="26" s="1"/>
  <c r="M45" i="14"/>
  <c r="M46"/>
  <c r="M47"/>
  <c r="M48"/>
  <c r="F49"/>
  <c r="F44"/>
  <c r="F71" s="1"/>
  <c r="F72" s="1"/>
  <c r="F47"/>
  <c r="F48" s="1"/>
  <c r="P48"/>
  <c r="O48"/>
  <c r="L48"/>
  <c r="L43"/>
  <c r="L46"/>
  <c r="L53" s="1"/>
  <c r="D48"/>
  <c r="K48"/>
  <c r="J48"/>
  <c r="Q47"/>
  <c r="G39" i="26" s="1"/>
  <c r="Q48" i="14"/>
  <c r="N47"/>
  <c r="N71" s="1"/>
  <c r="N44"/>
  <c r="P46"/>
  <c r="P53" s="1"/>
  <c r="P43"/>
  <c r="O46"/>
  <c r="D46"/>
  <c r="K46"/>
  <c r="K43"/>
  <c r="K53"/>
  <c r="J46"/>
  <c r="L36" i="26"/>
  <c r="F45" i="14"/>
  <c r="F46"/>
  <c r="O43"/>
  <c r="O53" s="1"/>
  <c r="D43"/>
  <c r="N43" s="1"/>
  <c r="J43"/>
  <c r="J53"/>
  <c r="N42"/>
  <c r="N70"/>
  <c r="L35" i="26"/>
  <c r="F42" i="14"/>
  <c r="F43"/>
  <c r="E39"/>
  <c r="N13"/>
  <c r="F13"/>
  <c r="N12"/>
  <c r="N16" s="1"/>
  <c r="F12"/>
  <c r="F16" s="1"/>
  <c r="P18"/>
  <c r="P11"/>
  <c r="P39"/>
  <c r="P54" s="1"/>
  <c r="O18"/>
  <c r="L18"/>
  <c r="D18"/>
  <c r="N18" s="1"/>
  <c r="L11"/>
  <c r="D11"/>
  <c r="N11"/>
  <c r="N21"/>
  <c r="K18"/>
  <c r="J18"/>
  <c r="J39" s="1"/>
  <c r="J54" s="1"/>
  <c r="M17"/>
  <c r="M18"/>
  <c r="F18"/>
  <c r="K14" i="16"/>
  <c r="F14" s="1"/>
  <c r="F21" s="1"/>
  <c r="F9" i="14"/>
  <c r="F58"/>
  <c r="F61" s="1"/>
  <c r="F10"/>
  <c r="F59"/>
  <c r="M11"/>
  <c r="N9"/>
  <c r="N58"/>
  <c r="N10"/>
  <c r="N59"/>
  <c r="J11"/>
  <c r="K11"/>
  <c r="K39" s="1"/>
  <c r="K54" s="1"/>
  <c r="O11"/>
  <c r="O39"/>
  <c r="O54" s="1"/>
  <c r="N60"/>
  <c r="M30"/>
  <c r="O61"/>
  <c r="L39" i="26"/>
  <c r="L38"/>
  <c r="M66" i="14"/>
  <c r="G35" i="26"/>
  <c r="Q38" i="14"/>
  <c r="L39"/>
  <c r="K40" i="16"/>
  <c r="F40"/>
  <c r="F41" s="1"/>
  <c r="G43"/>
  <c r="H43"/>
  <c r="D59" i="32"/>
  <c r="D60"/>
  <c r="D61"/>
  <c r="M12"/>
  <c r="E46"/>
  <c r="H46"/>
  <c r="H55"/>
  <c r="F5" i="34"/>
  <c r="G11"/>
  <c r="M6"/>
  <c r="M7"/>
  <c r="M10"/>
  <c r="N16" i="38"/>
  <c r="O6" i="39"/>
  <c r="F6" s="1"/>
  <c r="O9"/>
  <c r="F9" s="1"/>
  <c r="G12"/>
  <c r="F8" i="34"/>
  <c r="E62" i="32"/>
  <c r="E63" s="1"/>
  <c r="G55"/>
  <c r="F41"/>
  <c r="F50" i="14"/>
  <c r="F31" i="16"/>
  <c r="F36"/>
  <c r="H11" i="34"/>
  <c r="M71" i="14"/>
  <c r="F11"/>
  <c r="M16"/>
  <c r="M70"/>
  <c r="Q43"/>
  <c r="Q53" s="1"/>
  <c r="M65"/>
  <c r="G37" i="26"/>
  <c r="Q50" i="14"/>
  <c r="Q71"/>
  <c r="Q72"/>
  <c r="N48"/>
  <c r="F70"/>
  <c r="H40" i="26"/>
  <c r="M5" i="34"/>
  <c r="M72" i="14"/>
  <c r="F7" i="34"/>
  <c r="F51" i="35" l="1"/>
  <c r="G54" i="16"/>
  <c r="J43"/>
  <c r="J55" i="32"/>
  <c r="G62"/>
  <c r="G63" s="1"/>
  <c r="Q54" i="14"/>
  <c r="F53"/>
  <c r="M53"/>
  <c r="N67"/>
  <c r="Q74"/>
  <c r="F13" i="16"/>
  <c r="L54" i="14"/>
  <c r="N53"/>
  <c r="D62" i="32"/>
  <c r="D63" s="1"/>
  <c r="E55"/>
  <c r="F74" i="14"/>
  <c r="M39"/>
  <c r="M54" s="1"/>
  <c r="F43" i="16"/>
  <c r="F39" i="14"/>
  <c r="N72"/>
  <c r="P74"/>
  <c r="D74"/>
  <c r="J74"/>
  <c r="G53" i="16"/>
  <c r="F61" i="32"/>
  <c r="F63" s="1"/>
  <c r="F6" i="34"/>
  <c r="F11" s="1"/>
  <c r="F12" i="39"/>
  <c r="N39" i="14"/>
  <c r="L74"/>
  <c r="J46" i="32"/>
  <c r="F12"/>
  <c r="K11" i="34"/>
  <c r="I16" i="38"/>
  <c r="D39" i="14"/>
  <c r="D54" s="1"/>
  <c r="M9" i="34"/>
  <c r="D53" i="14"/>
  <c r="N46"/>
  <c r="D59" i="35"/>
  <c r="E51"/>
  <c r="D60"/>
  <c r="E59"/>
  <c r="E60"/>
  <c r="F54" i="14" l="1"/>
  <c r="G55" i="16"/>
  <c r="N54" i="14"/>
  <c r="N74"/>
  <c r="E61" i="35"/>
  <c r="D61"/>
</calcChain>
</file>

<file path=xl/sharedStrings.xml><?xml version="1.0" encoding="utf-8"?>
<sst xmlns="http://schemas.openxmlformats.org/spreadsheetml/2006/main" count="808" uniqueCount="270">
  <si>
    <t>Commodity</t>
  </si>
  <si>
    <t>States</t>
  </si>
  <si>
    <t>Remarks</t>
  </si>
  <si>
    <t>Moong</t>
  </si>
  <si>
    <t>Urad</t>
  </si>
  <si>
    <t>Sub Total</t>
  </si>
  <si>
    <t>Total</t>
  </si>
  <si>
    <t>Date of Closure of Procure-ment</t>
  </si>
  <si>
    <t>Date of Commenc-ement  of Procurement</t>
  </si>
  <si>
    <t xml:space="preserve"> </t>
  </si>
  <si>
    <t>NAFED HEAD OFFICE</t>
  </si>
  <si>
    <t>% Proc.  of Sanctioned Qty.</t>
  </si>
  <si>
    <t>Total Farmers registered</t>
  </si>
  <si>
    <t>G. Total</t>
  </si>
  <si>
    <t>Toor</t>
  </si>
  <si>
    <t>Soyabean</t>
  </si>
  <si>
    <t>Groundnut</t>
  </si>
  <si>
    <t>Sesamum</t>
  </si>
  <si>
    <t>Sunflower</t>
  </si>
  <si>
    <t xml:space="preserve"> MSP (Rs.Per Quintal)</t>
  </si>
  <si>
    <t xml:space="preserve"> MSP  Value       (Rs Crore)</t>
  </si>
  <si>
    <t>To be decided by state Government</t>
  </si>
  <si>
    <t>Sub Total Pulses</t>
  </si>
  <si>
    <t>Sub Total Oilseeds</t>
  </si>
  <si>
    <t>Number of Farmers Benefited</t>
  </si>
  <si>
    <t xml:space="preserve"> Number of Farmers Benefited</t>
  </si>
  <si>
    <t xml:space="preserve">Quantity Sanctioned by DA &amp; FW  (Quantity  MT)               </t>
  </si>
  <si>
    <t>QTY (IN MT)</t>
  </si>
  <si>
    <t>TARGET QTY BY DA &amp; FW</t>
  </si>
  <si>
    <t>QUANTITY PROCURED BY NAFED BRANCHES</t>
  </si>
  <si>
    <t>MSP (Rs.Per Quintal)</t>
  </si>
  <si>
    <t xml:space="preserve"> MSP  Value              (Rs Crore)</t>
  </si>
  <si>
    <t>MSP Value         (In Crore)</t>
  </si>
  <si>
    <t>Tamil Nadu</t>
  </si>
  <si>
    <t>Qty procured               (In MT)</t>
  </si>
  <si>
    <t xml:space="preserve"> Total</t>
  </si>
  <si>
    <t>Oilseesd</t>
  </si>
  <si>
    <t>Pulses</t>
  </si>
  <si>
    <t xml:space="preserve">Sub Total </t>
  </si>
  <si>
    <t xml:space="preserve">No. of Procurem-ent Centres </t>
  </si>
  <si>
    <t>No. of centres where Procureme-nt in progress</t>
  </si>
  <si>
    <t>s.n</t>
  </si>
  <si>
    <t xml:space="preserve">Qty procured on previous day </t>
  </si>
  <si>
    <t>commodity</t>
  </si>
  <si>
    <t>scheme</t>
  </si>
  <si>
    <t>season</t>
  </si>
  <si>
    <t>msp</t>
  </si>
  <si>
    <t>stateCode</t>
  </si>
  <si>
    <t>sanctionQty</t>
  </si>
  <si>
    <t>qtyProcYesterday</t>
  </si>
  <si>
    <t>progressiveProcurement</t>
  </si>
  <si>
    <t>progNoFarmermersBenifited</t>
  </si>
  <si>
    <t>procStartDate</t>
  </si>
  <si>
    <t>procEndDate</t>
  </si>
  <si>
    <t>value</t>
  </si>
  <si>
    <t>MOONG</t>
  </si>
  <si>
    <t>PSS</t>
  </si>
  <si>
    <t>23S</t>
  </si>
  <si>
    <t>MP</t>
  </si>
  <si>
    <t>GJ</t>
  </si>
  <si>
    <t>HR</t>
  </si>
  <si>
    <t>URAD</t>
  </si>
  <si>
    <t xml:space="preserve">PSS </t>
  </si>
  <si>
    <t>23R</t>
  </si>
  <si>
    <t>TN</t>
  </si>
  <si>
    <t>OR</t>
  </si>
  <si>
    <t>CHANA</t>
  </si>
  <si>
    <t>TS</t>
  </si>
  <si>
    <t>AP</t>
  </si>
  <si>
    <t>KA</t>
  </si>
  <si>
    <t>MH</t>
  </si>
  <si>
    <t>UP</t>
  </si>
  <si>
    <t>RJ</t>
  </si>
  <si>
    <t>BR</t>
  </si>
  <si>
    <t>MASOOR</t>
  </si>
  <si>
    <t>MUSTARD</t>
  </si>
  <si>
    <t>AS</t>
  </si>
  <si>
    <t>GROUNDNUT</t>
  </si>
  <si>
    <t xml:space="preserve">SUNFLOWER </t>
  </si>
  <si>
    <t>BALL_COPRA</t>
  </si>
  <si>
    <t>MILL_COPRA</t>
  </si>
  <si>
    <t>PB</t>
  </si>
  <si>
    <t>KR</t>
  </si>
  <si>
    <t>SAFFLOWER</t>
  </si>
  <si>
    <t>AN</t>
  </si>
  <si>
    <t>Kharif-2023</t>
  </si>
  <si>
    <t>Karnataka</t>
  </si>
  <si>
    <t xml:space="preserve">Sunflower </t>
  </si>
  <si>
    <t xml:space="preserve">Procurement Period Approved by State Government </t>
  </si>
  <si>
    <t>P- 9</t>
  </si>
  <si>
    <t>Gujarat</t>
  </si>
  <si>
    <t>Perennial  Crops -2023</t>
  </si>
  <si>
    <t>Ball Copra</t>
  </si>
  <si>
    <t>27-01-2023 to 25-08-2023</t>
  </si>
  <si>
    <t>Milling Copra</t>
  </si>
  <si>
    <t>Andaman &amp; Nikobar Islands</t>
  </si>
  <si>
    <t>01-07-2023 to 30-12-2023</t>
  </si>
  <si>
    <t xml:space="preserve">Proc. In progress </t>
  </si>
  <si>
    <t>Kerala</t>
  </si>
  <si>
    <t>29-06-2023 to 26-12-2023</t>
  </si>
  <si>
    <t xml:space="preserve">Total Perennial  Crops </t>
  </si>
  <si>
    <t>Andhra Pradesh</t>
  </si>
  <si>
    <t>Ball Copra 2023</t>
  </si>
  <si>
    <t>Milling Copra 2023</t>
  </si>
  <si>
    <t>Sub Total Perennial</t>
  </si>
  <si>
    <t xml:space="preserve">Groundut </t>
  </si>
  <si>
    <t xml:space="preserve">Sanction Qty </t>
  </si>
  <si>
    <t>Farmers Benefited</t>
  </si>
  <si>
    <t xml:space="preserve">  Progressive Procurement 
</t>
  </si>
  <si>
    <t>DETAILED  STATEMENT OF PSS PROCUREMENT DURING KHARIF 2023 SEASON AND PERENNIAL CROP 2023 SEASON</t>
  </si>
  <si>
    <t>Haryana</t>
  </si>
  <si>
    <t>Summary</t>
  </si>
  <si>
    <t>01-10-2023 to 15-11-2023</t>
  </si>
  <si>
    <t>01-11-2023 to 31-12-2023</t>
  </si>
  <si>
    <t>21-10-2023 to 19-01-2024</t>
  </si>
  <si>
    <t>06-09-2023 to 04-12-2023</t>
  </si>
  <si>
    <t xml:space="preserve">Procurement period over./ Final WHR qty received </t>
  </si>
  <si>
    <t>01-04-2023 to 26-11-2023</t>
  </si>
  <si>
    <t xml:space="preserve">Proc. In progress / Proc. period extended </t>
  </si>
  <si>
    <t>Uttar Pradesh</t>
  </si>
  <si>
    <t>Uttar               Pradesh</t>
  </si>
  <si>
    <t>Sesamum Seed</t>
  </si>
  <si>
    <t xml:space="preserve">Proc. In progress/ NIL Arrivals / Market rate above MSP </t>
  </si>
  <si>
    <t>Telangana</t>
  </si>
  <si>
    <t>25-10-2023 to 22-01-2024</t>
  </si>
  <si>
    <t>The procurement centres will be operative on 25.10.2023 and procurement period will be effective from the date of actual procurement and will be continue for 90 days from the date of actual procurement</t>
  </si>
  <si>
    <t>Rajasthan</t>
  </si>
  <si>
    <t>Maharashtra</t>
  </si>
  <si>
    <t xml:space="preserve">Maharashtra </t>
  </si>
  <si>
    <t>As on 26.10.2023</t>
  </si>
  <si>
    <t>Qty reported on  date                      26-10-2023</t>
  </si>
  <si>
    <t>Qty Procured Yesterday</t>
  </si>
  <si>
    <t>S.No.</t>
  </si>
  <si>
    <t>Moong K-23                              MSP-8558 Per QTL</t>
  </si>
  <si>
    <t>Urad K-23                                  MSP-6950 Per QTL</t>
  </si>
  <si>
    <t xml:space="preserve">Progressive Procurement  </t>
  </si>
  <si>
    <t>(QTY. in MT)</t>
  </si>
  <si>
    <t xml:space="preserve">Quantity Sanctioned by DA &amp; FW           </t>
  </si>
  <si>
    <t>Value                         (Rs Crores)</t>
  </si>
  <si>
    <t>Groundnut  K-23                             MSP-6377 Per QTL</t>
  </si>
  <si>
    <t>Soyabean  K-23                              MSP-4600 Per QTL</t>
  </si>
  <si>
    <t>Sesamum K-23                                MSP-8635 Per QTL</t>
  </si>
  <si>
    <t>Sunflower K-23                                MSP-6760 Per QTL</t>
  </si>
  <si>
    <t>Sanction QTY(Oilseeds)</t>
  </si>
  <si>
    <t>05-11-2023 to 02-02-2024</t>
  </si>
  <si>
    <t>01-11-2023 to 29-01-2024</t>
  </si>
  <si>
    <t>Toor K-23                                MSP-7000 Per QTL</t>
  </si>
  <si>
    <t>PSF Toor Kharif-23</t>
  </si>
  <si>
    <t>Perennial  Crops 2024</t>
  </si>
  <si>
    <t>Ball Copra MSP-12000 Per QTL</t>
  </si>
  <si>
    <t>06-09-2023 to 05-01-2024</t>
  </si>
  <si>
    <t>Madhya Pradesh</t>
  </si>
  <si>
    <t>Masoor  MSP: RS. 6425 per QTL</t>
  </si>
  <si>
    <t>Mustard Seed MSP : 5650 Per QTL.</t>
  </si>
  <si>
    <t>RABI-2024</t>
  </si>
  <si>
    <t>KHARIF-2024</t>
  </si>
  <si>
    <t xml:space="preserve">PSF K-23 Procurement  </t>
  </si>
  <si>
    <t>Sanction QTY (Pulses)</t>
  </si>
  <si>
    <t>18-11-2023 to 01-03-2024</t>
  </si>
  <si>
    <t>Assam</t>
  </si>
  <si>
    <t>Moong  MSP: RS. 8558 per QTL</t>
  </si>
  <si>
    <t>Urad  MSP: RS. 6950 per QTL</t>
  </si>
  <si>
    <t>Groundnut  MSP: RS. 6377 per QTL</t>
  </si>
  <si>
    <t>04-03-2024 to 15-03-2024</t>
  </si>
  <si>
    <t>Sunflower  MSP: RS. 6760 per QTL</t>
  </si>
  <si>
    <t>04-03-2024 to 01-06-2024</t>
  </si>
  <si>
    <t>18-03-2024 to 15-06-2024</t>
  </si>
  <si>
    <t>26-03-2024 to 31-05-2023</t>
  </si>
  <si>
    <t>01-04-2024 to 10-05-2024</t>
  </si>
  <si>
    <t>26-03-2024 to 01-05-2024</t>
  </si>
  <si>
    <t>05-03-2024 to 12-06-2024 &amp;                      01-04-2024 to  29-06-2024</t>
  </si>
  <si>
    <t>15-03-2024 to 12-06-2024</t>
  </si>
  <si>
    <t>Procurement details PSS K-23, &amp; PSF Toor Kh-23</t>
  </si>
  <si>
    <t xml:space="preserve">Procurement details PSS Rabi -2024 and Perennial crop 2024 </t>
  </si>
  <si>
    <t>PSS Kharif - 2023</t>
  </si>
  <si>
    <t>Gram  MSP: RS. 5440 per QTL</t>
  </si>
  <si>
    <t>16-02-2024 to 15-05-2024</t>
  </si>
  <si>
    <t>13-03-2024 to 10-06-2024</t>
  </si>
  <si>
    <t>Sanction QTY (Oilseeds)</t>
  </si>
  <si>
    <t>Milling Copra MSP-11160 Per QTL</t>
  </si>
  <si>
    <t>09-11-2023 to 26-04-2024</t>
  </si>
  <si>
    <t>As on 01-04-2024</t>
  </si>
  <si>
    <t>5500-5600</t>
  </si>
  <si>
    <t>5400-5700</t>
  </si>
  <si>
    <t>5700-5800</t>
  </si>
  <si>
    <t>6000-6200</t>
  </si>
  <si>
    <t>5300-5600</t>
  </si>
  <si>
    <t>5400-5800</t>
  </si>
  <si>
    <t>4600-5150</t>
  </si>
  <si>
    <t>Prevailing market rate                 (Rs. per Qtl)</t>
  </si>
  <si>
    <t>% dfferante</t>
  </si>
  <si>
    <t>% difference with MSP</t>
  </si>
  <si>
    <t>05-03-2024 to 12-06-2024 &amp;  01-04-2024 to  29-06-2024</t>
  </si>
  <si>
    <t xml:space="preserve">Procurement details PSS Mustard Seed Rabi -2024 </t>
  </si>
  <si>
    <t xml:space="preserve">No. of Procurement Centres </t>
  </si>
  <si>
    <t xml:space="preserve">Mustard Seed  (MSP-5650)           </t>
  </si>
  <si>
    <t>Note : Procurement report of UP and Telangana state not received.</t>
  </si>
  <si>
    <t>Note : Procurement report of Gujarat,MP, Karnataka,Tamil Nadu,Telangana,Maharashtra and Assam state not received.</t>
  </si>
  <si>
    <t>Note : Procurement report of Uttar Pradesh, Karnataka, Andhra Pradesh, Tamil Nadu, Telangana and Maharashtra state not received.</t>
  </si>
  <si>
    <t xml:space="preserve">Quantity Sanctioned by DA &amp; FW             </t>
  </si>
  <si>
    <t>15-03-2024 to 15-07-2024</t>
  </si>
  <si>
    <t>Kharif -24 PSS</t>
  </si>
  <si>
    <t>Moong                MSP: Rs. 8682 per QTL</t>
  </si>
  <si>
    <t xml:space="preserve">G. Total </t>
  </si>
  <si>
    <t>Kharif-2024 PSS</t>
  </si>
  <si>
    <t>Sunflower  MSP: RS. 7280 per QTL</t>
  </si>
  <si>
    <t>Urad              MSP: Rs. 7400 per QTL</t>
  </si>
  <si>
    <t>Soyabean  MSP: RS. 4892 per QTL</t>
  </si>
  <si>
    <t>Oilseeds</t>
  </si>
  <si>
    <t>05-09-2024 to 03-12-2024</t>
  </si>
  <si>
    <t>21-10-2024 to 18-01-2025</t>
  </si>
  <si>
    <t>30-08-2024 to 27-11-2024</t>
  </si>
  <si>
    <t>10-10-2024 to 07-01-2025</t>
  </si>
  <si>
    <t>15-10-2024 to 12-01-2025</t>
  </si>
  <si>
    <t xml:space="preserve">Karnataka </t>
  </si>
  <si>
    <t>Groundnut  MSP: RS. 6783 per QTL</t>
  </si>
  <si>
    <t>25-09-2024 to 23-12-2024</t>
  </si>
  <si>
    <t>Uttar Pradesh*</t>
  </si>
  <si>
    <t>Toor  MSP: RS. 7550 per QTL</t>
  </si>
  <si>
    <t>Sesamum Seed (Til)  MSP: RS. 9267 per QTL</t>
  </si>
  <si>
    <t>18-10-2024 to 15-01-2024</t>
  </si>
  <si>
    <t>01-10-2024 to 15-11-2024</t>
  </si>
  <si>
    <t>01-12-2024 to 31-12-2024</t>
  </si>
  <si>
    <t>11-11-2024 to 09-02-2025</t>
  </si>
  <si>
    <t>24-10-2024 to 21-01-2025</t>
  </si>
  <si>
    <t>18-11-2024 to 15-02-2025</t>
  </si>
  <si>
    <t>18-10-2024 to 15-01-2025</t>
  </si>
  <si>
    <r>
      <rPr>
        <b/>
        <sz val="22"/>
        <color theme="1"/>
        <rFont val="Arial"/>
        <family val="2"/>
      </rPr>
      <t>*</t>
    </r>
    <r>
      <rPr>
        <b/>
        <sz val="18"/>
        <color theme="1"/>
        <rFont val="Arial"/>
        <family val="2"/>
      </rPr>
      <t xml:space="preserve"> Sanction qty extended </t>
    </r>
  </si>
  <si>
    <t>Name of SLA</t>
  </si>
  <si>
    <t>No. of centres where Procurement in progress</t>
  </si>
  <si>
    <t xml:space="preserve">Last year Procurement during Kharif-23 Season </t>
  </si>
  <si>
    <t>KCMF Ltd</t>
  </si>
  <si>
    <t>TG MARKFED</t>
  </si>
  <si>
    <t>MP MARKFED</t>
  </si>
  <si>
    <t>RAJFED</t>
  </si>
  <si>
    <t>GUJCOMASOL</t>
  </si>
  <si>
    <t xml:space="preserve">Telangana </t>
  </si>
  <si>
    <t>Procurement details of PSS Kharif  2024-25</t>
  </si>
  <si>
    <t xml:space="preserve">Quantity Sanctioned by Da &amp; FW,GoI </t>
  </si>
  <si>
    <t>VCMF, MARKFED, MAHA KISHAN SANGH, PRUTHASHAKTI, MAHA KISAN VRIDDHI</t>
  </si>
  <si>
    <t>State</t>
  </si>
  <si>
    <t>SLA Name</t>
  </si>
  <si>
    <t>MARKFED</t>
  </si>
  <si>
    <t>VCMF</t>
  </si>
  <si>
    <t>MAHA KISHAN SANGH</t>
  </si>
  <si>
    <t>PRUTHASHAKTI</t>
  </si>
  <si>
    <t>MAHA KISAN VRIDDHI</t>
  </si>
  <si>
    <t xml:space="preserve">No. of Approved Centres </t>
  </si>
  <si>
    <t>No. of Active Center</t>
  </si>
  <si>
    <t>Note: 1) IN Maharastra Soya bean commenced from  15th October 2024 .In Maharastra specifically five  SLS are there VCMF, MARKFED, MAHA KISHAN SANGH, PRUTHASHAKTI, MAHA KISAN VRIDDHI and up till 7th November procured a quantity of 1813.45 MT valuing 8.87 crore</t>
  </si>
  <si>
    <t xml:space="preserve">Qty  Progressive Procurement  </t>
  </si>
  <si>
    <t xml:space="preserve">Reported centres of  Procurement </t>
  </si>
  <si>
    <t xml:space="preserve"> Procurement details PSS Kharif -2024</t>
  </si>
  <si>
    <t>NAFED</t>
  </si>
  <si>
    <t xml:space="preserve">FAQ     Sanctioned Quantity                         DA &amp; FW  </t>
  </si>
  <si>
    <t>As on 09-11-2024</t>
  </si>
  <si>
    <t>Qty Procured Today Tentative</t>
  </si>
  <si>
    <t>As on 10-11-2024</t>
  </si>
  <si>
    <t>Qty Procured Today Yesterday</t>
  </si>
  <si>
    <t>KSCMF Ltd</t>
  </si>
  <si>
    <t>01-11-2024 to 29-01-2025</t>
  </si>
  <si>
    <t>24-08-2024 to 18-12-2024</t>
  </si>
  <si>
    <t>24-08-2024 to 23-12-2024</t>
  </si>
  <si>
    <t>05-09-2024 to 02-01-2025</t>
  </si>
  <si>
    <t xml:space="preserve">^  Procurement period over </t>
  </si>
  <si>
    <t>**  Telanagana's Moong procurement period got over &amp; Final WHR qty received</t>
  </si>
  <si>
    <t>25-09-2024 to 07-01-2025</t>
  </si>
  <si>
    <t>25-10-2024 to 02-01-2025</t>
  </si>
  <si>
    <t>As on 07-01-2025</t>
  </si>
  <si>
    <t>Andhra  Pradesh</t>
  </si>
</sst>
</file>

<file path=xl/styles.xml><?xml version="1.0" encoding="utf-8"?>
<styleSheet xmlns="http://schemas.openxmlformats.org/spreadsheetml/2006/main">
  <numFmts count="5">
    <numFmt numFmtId="43" formatCode="_ * #,##0.00_ ;_ * \-#,##0.00_ ;_ * &quot;-&quot;??_ ;_ @_ "/>
    <numFmt numFmtId="164" formatCode="_ * #,##0_ ;_ * \-#,##0_ ;_ * &quot;-&quot;??_ ;_ @_ "/>
    <numFmt numFmtId="165" formatCode="[$-F800]dddd\,\ mmmm\ dd\,\ yyyy"/>
    <numFmt numFmtId="166" formatCode="[$-14009]dd\-mm\-yyyy;@"/>
    <numFmt numFmtId="167" formatCode="dd/mm/yyyy;@"/>
  </numFmts>
  <fonts count="32">
    <font>
      <sz val="11"/>
      <color theme="1"/>
      <name val="Calibri"/>
      <family val="2"/>
      <scheme val="minor"/>
    </font>
    <font>
      <sz val="14"/>
      <name val="Arial"/>
      <family val="2"/>
    </font>
    <font>
      <b/>
      <sz val="18"/>
      <name val="Arial"/>
      <family val="2"/>
    </font>
    <font>
      <b/>
      <sz val="14"/>
      <name val="Arial"/>
      <family val="2"/>
    </font>
    <font>
      <sz val="11"/>
      <name val="Arial"/>
      <family val="2"/>
    </font>
    <font>
      <sz val="11"/>
      <color theme="1"/>
      <name val="Calibri"/>
      <family val="2"/>
      <scheme val="minor"/>
    </font>
    <font>
      <sz val="12"/>
      <color theme="1"/>
      <name val="Calibri"/>
      <family val="2"/>
      <scheme val="minor"/>
    </font>
    <font>
      <b/>
      <sz val="11"/>
      <color theme="1"/>
      <name val="Arial"/>
      <family val="2"/>
    </font>
    <font>
      <b/>
      <sz val="14"/>
      <color theme="1"/>
      <name val="Arial"/>
      <family val="2"/>
    </font>
    <font>
      <sz val="16"/>
      <color theme="1"/>
      <name val="Arial"/>
      <family val="2"/>
    </font>
    <font>
      <b/>
      <sz val="18"/>
      <color theme="1"/>
      <name val="Arial"/>
      <family val="2"/>
    </font>
    <font>
      <b/>
      <sz val="16"/>
      <color theme="1"/>
      <name val="Arial"/>
      <family val="2"/>
    </font>
    <font>
      <b/>
      <sz val="15"/>
      <color theme="1"/>
      <name val="Arial"/>
      <family val="2"/>
    </font>
    <font>
      <sz val="14"/>
      <color theme="1"/>
      <name val="Arial"/>
      <family val="2"/>
    </font>
    <font>
      <b/>
      <sz val="10"/>
      <color rgb="FF000000"/>
      <name val="Arial"/>
      <family val="2"/>
    </font>
    <font>
      <sz val="14"/>
      <color rgb="FF000000"/>
      <name val="Arial"/>
      <family val="2"/>
    </font>
    <font>
      <b/>
      <sz val="20"/>
      <color theme="1"/>
      <name val="Arial"/>
      <family val="2"/>
    </font>
    <font>
      <sz val="15"/>
      <color theme="1"/>
      <name val="Arial"/>
      <family val="2"/>
    </font>
    <font>
      <sz val="17"/>
      <color theme="1"/>
      <name val="Arial"/>
      <family val="2"/>
    </font>
    <font>
      <b/>
      <sz val="12"/>
      <color theme="1"/>
      <name val="Arial"/>
      <family val="2"/>
    </font>
    <font>
      <sz val="13"/>
      <color theme="1"/>
      <name val="Arial"/>
      <family val="2"/>
    </font>
    <font>
      <sz val="12"/>
      <color theme="1"/>
      <name val="Arial"/>
      <family val="2"/>
    </font>
    <font>
      <sz val="11"/>
      <color theme="1"/>
      <name val="Arial"/>
      <family val="2"/>
    </font>
    <font>
      <b/>
      <sz val="10"/>
      <color theme="1"/>
      <name val="Arial"/>
      <family val="2"/>
    </font>
    <font>
      <b/>
      <sz val="11"/>
      <color rgb="FF000000"/>
      <name val="Arial"/>
      <family val="2"/>
    </font>
    <font>
      <b/>
      <sz val="14"/>
      <color rgb="FF000000"/>
      <name val="Arial"/>
      <family val="2"/>
    </font>
    <font>
      <sz val="11.5"/>
      <color theme="1"/>
      <name val="Arial"/>
      <family val="2"/>
    </font>
    <font>
      <b/>
      <sz val="13"/>
      <color theme="1"/>
      <name val="Arial"/>
      <family val="2"/>
    </font>
    <font>
      <sz val="13"/>
      <color theme="1"/>
      <name val="Calibri"/>
      <family val="2"/>
      <scheme val="minor"/>
    </font>
    <font>
      <b/>
      <sz val="22"/>
      <color theme="1"/>
      <name val="Arial"/>
      <family val="2"/>
    </font>
    <font>
      <sz val="18"/>
      <color theme="1"/>
      <name val="Arial"/>
      <family val="2"/>
    </font>
    <font>
      <sz val="16"/>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s>
  <borders count="8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thin">
        <color rgb="FF000000"/>
      </left>
      <right style="thin">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rgb="FF000000"/>
      </left>
      <right style="thin">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s>
  <cellStyleXfs count="3">
    <xf numFmtId="0" fontId="0" fillId="0" borderId="0"/>
    <xf numFmtId="43" fontId="5" fillId="0" borderId="0" applyFont="0" applyFill="0" applyBorder="0" applyAlignment="0" applyProtection="0"/>
    <xf numFmtId="0" fontId="6" fillId="0" borderId="0"/>
  </cellStyleXfs>
  <cellXfs count="731">
    <xf numFmtId="0" fontId="0" fillId="0" borderId="0" xfId="0"/>
    <xf numFmtId="0" fontId="7" fillId="0" borderId="0" xfId="0" applyFont="1"/>
    <xf numFmtId="0" fontId="8" fillId="0" borderId="0" xfId="0" applyFont="1" applyBorder="1" applyAlignment="1">
      <alignment horizontal="center"/>
    </xf>
    <xf numFmtId="14" fontId="7" fillId="0" borderId="0" xfId="0" applyNumberFormat="1" applyFont="1"/>
    <xf numFmtId="0" fontId="9" fillId="0" borderId="1" xfId="0" applyFont="1" applyFill="1" applyBorder="1" applyAlignment="1">
      <alignment horizontal="center" vertical="center"/>
    </xf>
    <xf numFmtId="0" fontId="10" fillId="0" borderId="0" xfId="0" applyFont="1" applyBorder="1" applyAlignment="1">
      <alignment horizontal="right" vertical="center"/>
    </xf>
    <xf numFmtId="0" fontId="8" fillId="0" borderId="0" xfId="0" applyFont="1" applyBorder="1" applyAlignment="1">
      <alignment horizontal="center" vertical="center" wrapText="1"/>
    </xf>
    <xf numFmtId="164" fontId="8" fillId="0" borderId="0" xfId="1" applyNumberFormat="1" applyFont="1" applyFill="1" applyBorder="1" applyAlignment="1"/>
    <xf numFmtId="43" fontId="8" fillId="0" borderId="0" xfId="1" applyFont="1" applyFill="1" applyBorder="1" applyAlignment="1"/>
    <xf numFmtId="0" fontId="10" fillId="0" borderId="0" xfId="0" applyFont="1" applyBorder="1" applyAlignment="1">
      <alignment horizontal="center" vertical="center"/>
    </xf>
    <xf numFmtId="164" fontId="7" fillId="0" borderId="0" xfId="0" applyNumberFormat="1" applyFont="1"/>
    <xf numFmtId="43" fontId="7" fillId="0" borderId="0" xfId="0" applyNumberFormat="1" applyFont="1"/>
    <xf numFmtId="0" fontId="11" fillId="0" borderId="2" xfId="0" applyFont="1" applyBorder="1" applyAlignment="1">
      <alignment vertical="center"/>
    </xf>
    <xf numFmtId="0" fontId="11" fillId="0" borderId="3" xfId="0" applyFont="1" applyBorder="1" applyAlignment="1">
      <alignment vertical="center"/>
    </xf>
    <xf numFmtId="43" fontId="11" fillId="0" borderId="2" xfId="1" applyFont="1" applyBorder="1" applyAlignment="1">
      <alignment vertical="center"/>
    </xf>
    <xf numFmtId="0" fontId="12" fillId="2" borderId="3" xfId="0" applyFont="1" applyFill="1" applyBorder="1" applyAlignment="1">
      <alignment vertical="center" wrapText="1"/>
    </xf>
    <xf numFmtId="164" fontId="12" fillId="2" borderId="4" xfId="1" applyNumberFormat="1" applyFont="1" applyFill="1" applyBorder="1" applyAlignment="1">
      <alignment vertical="center"/>
    </xf>
    <xf numFmtId="164" fontId="12" fillId="0" borderId="5" xfId="1" applyNumberFormat="1" applyFont="1" applyFill="1" applyBorder="1" applyAlignment="1">
      <alignment vertical="center"/>
    </xf>
    <xf numFmtId="43" fontId="12" fillId="2" borderId="6" xfId="1" applyFont="1" applyFill="1" applyBorder="1" applyAlignment="1">
      <alignment vertical="center"/>
    </xf>
    <xf numFmtId="43" fontId="9" fillId="0" borderId="7" xfId="1" applyFont="1" applyBorder="1" applyAlignment="1">
      <alignment vertical="center"/>
    </xf>
    <xf numFmtId="164" fontId="11" fillId="0" borderId="4" xfId="0" applyNumberFormat="1" applyFont="1" applyBorder="1" applyAlignment="1">
      <alignment vertical="center"/>
    </xf>
    <xf numFmtId="14" fontId="7" fillId="0" borderId="0" xfId="0" applyNumberFormat="1" applyFont="1" applyAlignment="1">
      <alignment vertical="center"/>
    </xf>
    <xf numFmtId="0" fontId="11" fillId="0" borderId="0" xfId="0" applyFont="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7" fillId="0" borderId="0" xfId="0" applyNumberFormat="1" applyFont="1"/>
    <xf numFmtId="164" fontId="11" fillId="0" borderId="0" xfId="1" applyNumberFormat="1" applyFont="1" applyFill="1" applyBorder="1" applyAlignment="1">
      <alignment horizontal="center" vertical="center" wrapText="1"/>
    </xf>
    <xf numFmtId="43" fontId="11" fillId="0" borderId="0" xfId="1" applyFont="1" applyFill="1" applyBorder="1" applyAlignment="1">
      <alignment horizontal="center" vertical="center" wrapText="1"/>
    </xf>
    <xf numFmtId="2" fontId="7" fillId="0" borderId="0" xfId="0" applyNumberFormat="1" applyFont="1"/>
    <xf numFmtId="2" fontId="11" fillId="0" borderId="4" xfId="1" applyNumberFormat="1" applyFont="1" applyBorder="1" applyAlignment="1">
      <alignment vertical="center"/>
    </xf>
    <xf numFmtId="0" fontId="10" fillId="0" borderId="0" xfId="0" applyFont="1" applyAlignment="1">
      <alignment horizontal="right"/>
    </xf>
    <xf numFmtId="43" fontId="11" fillId="0" borderId="4" xfId="1" applyFont="1" applyBorder="1" applyAlignment="1">
      <alignment vertical="center"/>
    </xf>
    <xf numFmtId="164" fontId="13" fillId="0" borderId="11" xfId="1" applyNumberFormat="1" applyFont="1" applyBorder="1" applyAlignment="1">
      <alignment horizontal="center" vertical="center"/>
    </xf>
    <xf numFmtId="164" fontId="9" fillId="0" borderId="7" xfId="1" applyNumberFormat="1" applyFont="1" applyFill="1" applyBorder="1" applyAlignment="1">
      <alignment horizontal="center" vertical="center" wrapText="1"/>
    </xf>
    <xf numFmtId="1" fontId="9" fillId="0" borderId="7" xfId="0" applyNumberFormat="1" applyFont="1" applyFill="1" applyBorder="1" applyAlignment="1">
      <alignment horizontal="center" vertical="center" wrapText="1"/>
    </xf>
    <xf numFmtId="2" fontId="9" fillId="0" borderId="7" xfId="0" applyNumberFormat="1" applyFont="1" applyFill="1" applyBorder="1" applyAlignment="1">
      <alignment horizontal="center" vertical="center" wrapText="1"/>
    </xf>
    <xf numFmtId="166" fontId="9" fillId="0" borderId="7" xfId="0" applyNumberFormat="1" applyFont="1" applyFill="1" applyBorder="1" applyAlignment="1">
      <alignment horizontal="center" vertical="center" wrapText="1"/>
    </xf>
    <xf numFmtId="14" fontId="9" fillId="0" borderId="7"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2" fontId="9" fillId="0" borderId="12" xfId="1" applyNumberFormat="1" applyFont="1" applyFill="1" applyBorder="1" applyAlignment="1">
      <alignment horizontal="center" vertical="center" wrapText="1"/>
    </xf>
    <xf numFmtId="0" fontId="9" fillId="0" borderId="7" xfId="1" applyNumberFormat="1" applyFont="1" applyFill="1" applyBorder="1" applyAlignment="1">
      <alignment horizontal="center" vertical="center" wrapText="1"/>
    </xf>
    <xf numFmtId="2" fontId="9" fillId="0" borderId="13" xfId="1" applyNumberFormat="1" applyFont="1" applyFill="1" applyBorder="1" applyAlignment="1">
      <alignment horizontal="center" vertical="center" wrapText="1"/>
    </xf>
    <xf numFmtId="2" fontId="9" fillId="0" borderId="7" xfId="1" applyNumberFormat="1" applyFont="1" applyFill="1" applyBorder="1" applyAlignment="1">
      <alignment horizontal="center" vertical="center" wrapText="1"/>
    </xf>
    <xf numFmtId="0" fontId="9" fillId="0" borderId="9" xfId="0" applyFont="1" applyBorder="1" applyAlignment="1">
      <alignment horizontal="center" vertical="center" wrapText="1"/>
    </xf>
    <xf numFmtId="164" fontId="9" fillId="0" borderId="14" xfId="1" applyNumberFormat="1" applyFont="1" applyBorder="1" applyAlignment="1">
      <alignment horizontal="center" vertical="center" wrapText="1"/>
    </xf>
    <xf numFmtId="1" fontId="9" fillId="0" borderId="14" xfId="0" applyNumberFormat="1" applyFont="1" applyBorder="1" applyAlignment="1">
      <alignment horizontal="center" vertical="center" wrapText="1"/>
    </xf>
    <xf numFmtId="2" fontId="9" fillId="0" borderId="14" xfId="0" applyNumberFormat="1" applyFont="1" applyBorder="1" applyAlignment="1">
      <alignment horizontal="center" vertical="center" wrapText="1"/>
    </xf>
    <xf numFmtId="166" fontId="9" fillId="0" borderId="14" xfId="0" applyNumberFormat="1" applyFont="1" applyBorder="1" applyAlignment="1">
      <alignment horizontal="center" vertical="center" wrapText="1"/>
    </xf>
    <xf numFmtId="14" fontId="9" fillId="0" borderId="14" xfId="0" applyNumberFormat="1" applyFont="1" applyBorder="1" applyAlignment="1">
      <alignment horizontal="center" vertical="center" wrapText="1"/>
    </xf>
    <xf numFmtId="0" fontId="9" fillId="0" borderId="14" xfId="0" applyFont="1" applyBorder="1" applyAlignment="1">
      <alignment horizontal="center" vertical="center" wrapText="1"/>
    </xf>
    <xf numFmtId="2" fontId="9" fillId="0" borderId="14" xfId="0" applyNumberFormat="1" applyFont="1" applyFill="1" applyBorder="1" applyAlignment="1">
      <alignment horizontal="center" vertical="center" wrapText="1"/>
    </xf>
    <xf numFmtId="2" fontId="9" fillId="0" borderId="14" xfId="1" applyNumberFormat="1" applyFont="1" applyBorder="1" applyAlignment="1">
      <alignment horizontal="center" vertical="center" wrapText="1"/>
    </xf>
    <xf numFmtId="2" fontId="9" fillId="0" borderId="15" xfId="1" applyNumberFormat="1" applyFont="1" applyBorder="1" applyAlignment="1">
      <alignment horizontal="center" vertical="center" wrapText="1"/>
    </xf>
    <xf numFmtId="0" fontId="10" fillId="0" borderId="16" xfId="0" applyFont="1" applyBorder="1" applyAlignment="1">
      <alignment horizontal="center" vertical="center" wrapText="1"/>
    </xf>
    <xf numFmtId="164" fontId="10" fillId="0" borderId="17" xfId="1" applyNumberFormat="1" applyFont="1" applyBorder="1" applyAlignment="1">
      <alignment horizontal="center" vertical="center" wrapText="1"/>
    </xf>
    <xf numFmtId="1" fontId="10" fillId="0" borderId="17" xfId="0" applyNumberFormat="1" applyFont="1" applyBorder="1" applyAlignment="1">
      <alignment horizontal="center" vertical="center" wrapText="1"/>
    </xf>
    <xf numFmtId="2" fontId="10" fillId="0" borderId="17" xfId="0" applyNumberFormat="1" applyFont="1" applyBorder="1" applyAlignment="1">
      <alignment horizontal="center" vertical="center" wrapText="1"/>
    </xf>
    <xf numFmtId="0" fontId="10" fillId="0" borderId="17" xfId="0" applyFont="1" applyBorder="1" applyAlignment="1">
      <alignment horizontal="center" vertical="center" wrapText="1"/>
    </xf>
    <xf numFmtId="166" fontId="10" fillId="0" borderId="17" xfId="0" applyNumberFormat="1" applyFont="1" applyBorder="1" applyAlignment="1">
      <alignment horizontal="center" vertical="center" wrapText="1"/>
    </xf>
    <xf numFmtId="0" fontId="10" fillId="0" borderId="17" xfId="0" applyNumberFormat="1" applyFont="1" applyBorder="1" applyAlignment="1">
      <alignment horizontal="center" vertical="center" wrapText="1"/>
    </xf>
    <xf numFmtId="2" fontId="10" fillId="0" borderId="17" xfId="0" applyNumberFormat="1" applyFont="1" applyFill="1" applyBorder="1" applyAlignment="1">
      <alignment horizontal="center" vertical="center" wrapText="1"/>
    </xf>
    <xf numFmtId="0" fontId="10" fillId="0" borderId="18" xfId="0" applyFont="1" applyFill="1" applyBorder="1" applyAlignment="1">
      <alignment horizontal="center" vertical="center" wrapText="1"/>
    </xf>
    <xf numFmtId="164" fontId="10" fillId="0" borderId="2" xfId="1" applyNumberFormat="1" applyFont="1" applyBorder="1" applyAlignment="1">
      <alignment horizontal="center" vertical="center"/>
    </xf>
    <xf numFmtId="166" fontId="10" fillId="0" borderId="2" xfId="1" applyNumberFormat="1" applyFont="1" applyBorder="1" applyAlignment="1">
      <alignment horizontal="center" vertical="center"/>
    </xf>
    <xf numFmtId="0" fontId="10" fillId="0" borderId="2" xfId="1" applyNumberFormat="1" applyFont="1" applyBorder="1" applyAlignment="1">
      <alignment horizontal="center" vertical="center"/>
    </xf>
    <xf numFmtId="0" fontId="10" fillId="0" borderId="4" xfId="0" applyFont="1" applyFill="1" applyBorder="1" applyAlignment="1">
      <alignment horizontal="center" vertical="center"/>
    </xf>
    <xf numFmtId="0" fontId="9" fillId="0" borderId="19" xfId="0" applyFont="1" applyBorder="1" applyAlignment="1">
      <alignment vertical="center"/>
    </xf>
    <xf numFmtId="43" fontId="9" fillId="0" borderId="20" xfId="1" applyFont="1" applyBorder="1" applyAlignment="1">
      <alignment vertical="center"/>
    </xf>
    <xf numFmtId="2" fontId="9" fillId="0" borderId="20" xfId="0" applyNumberFormat="1" applyFont="1" applyFill="1" applyBorder="1" applyAlignment="1">
      <alignment horizontal="center" vertical="center" wrapText="1"/>
    </xf>
    <xf numFmtId="0" fontId="9" fillId="0" borderId="20" xfId="1" applyNumberFormat="1" applyFont="1" applyFill="1" applyBorder="1" applyAlignment="1">
      <alignment horizontal="center" vertical="center" wrapText="1"/>
    </xf>
    <xf numFmtId="43" fontId="9" fillId="0" borderId="11" xfId="1" applyFont="1" applyBorder="1" applyAlignment="1">
      <alignment vertical="center"/>
    </xf>
    <xf numFmtId="43" fontId="9" fillId="0" borderId="21" xfId="1" applyFont="1" applyBorder="1" applyAlignment="1">
      <alignment vertical="center"/>
    </xf>
    <xf numFmtId="0" fontId="11" fillId="0" borderId="3" xfId="0" applyFont="1" applyBorder="1"/>
    <xf numFmtId="0" fontId="10" fillId="0" borderId="0" xfId="0" applyFont="1" applyBorder="1" applyAlignment="1">
      <alignment horizontal="center" vertical="center"/>
    </xf>
    <xf numFmtId="43" fontId="9" fillId="0" borderId="22" xfId="1" applyFont="1" applyBorder="1" applyAlignment="1">
      <alignment vertical="center"/>
    </xf>
    <xf numFmtId="164" fontId="9" fillId="0" borderId="22" xfId="1" applyNumberFormat="1" applyFont="1" applyBorder="1" applyAlignment="1">
      <alignment vertical="center"/>
    </xf>
    <xf numFmtId="164" fontId="9" fillId="0" borderId="21" xfId="1" applyNumberFormat="1" applyFont="1" applyBorder="1" applyAlignment="1">
      <alignment vertical="center"/>
    </xf>
    <xf numFmtId="164" fontId="9" fillId="0" borderId="11" xfId="1" applyNumberFormat="1" applyFont="1" applyBorder="1" applyAlignment="1">
      <alignment vertical="center"/>
    </xf>
    <xf numFmtId="0" fontId="9" fillId="0" borderId="23" xfId="0" applyFont="1" applyBorder="1" applyAlignment="1">
      <alignment vertical="center"/>
    </xf>
    <xf numFmtId="164" fontId="9" fillId="0" borderId="24" xfId="1" applyNumberFormat="1" applyFont="1" applyBorder="1" applyAlignment="1">
      <alignment vertical="center"/>
    </xf>
    <xf numFmtId="43" fontId="9" fillId="0" borderId="24" xfId="1" applyFont="1" applyBorder="1" applyAlignment="1">
      <alignment vertical="center"/>
    </xf>
    <xf numFmtId="0" fontId="12" fillId="2" borderId="3" xfId="0" applyFont="1" applyFill="1" applyBorder="1" applyAlignment="1">
      <alignment vertical="center"/>
    </xf>
    <xf numFmtId="0" fontId="10" fillId="0" borderId="0" xfId="0" applyFont="1" applyBorder="1" applyAlignment="1">
      <alignment horizontal="left" vertical="center"/>
    </xf>
    <xf numFmtId="0" fontId="9" fillId="0" borderId="20" xfId="1" applyNumberFormat="1" applyFont="1" applyBorder="1" applyAlignment="1">
      <alignment horizontal="center" vertical="center"/>
    </xf>
    <xf numFmtId="0" fontId="11" fillId="0" borderId="2" xfId="1" applyNumberFormat="1" applyFont="1" applyBorder="1" applyAlignment="1">
      <alignment horizontal="center" vertical="center"/>
    </xf>
    <xf numFmtId="0" fontId="13" fillId="0" borderId="11" xfId="0" applyFont="1" applyFill="1" applyBorder="1" applyAlignment="1">
      <alignment vertical="top" wrapText="1"/>
    </xf>
    <xf numFmtId="43" fontId="9" fillId="0" borderId="20" xfId="1" applyFont="1" applyBorder="1" applyAlignment="1">
      <alignment horizontal="center" vertical="center"/>
    </xf>
    <xf numFmtId="1" fontId="11" fillId="0" borderId="2" xfId="1" applyNumberFormat="1" applyFont="1" applyBorder="1" applyAlignment="1">
      <alignment horizontal="center" vertical="center"/>
    </xf>
    <xf numFmtId="2" fontId="11" fillId="0" borderId="2" xfId="1" applyNumberFormat="1" applyFont="1" applyBorder="1" applyAlignment="1">
      <alignment horizontal="center" vertical="center"/>
    </xf>
    <xf numFmtId="2" fontId="10" fillId="0" borderId="2" xfId="1" applyNumberFormat="1" applyFont="1" applyBorder="1" applyAlignment="1">
      <alignment horizontal="center" vertical="center"/>
    </xf>
    <xf numFmtId="0" fontId="14" fillId="0" borderId="14" xfId="0" applyFont="1" applyBorder="1" applyAlignment="1">
      <alignment horizontal="center" vertical="center"/>
    </xf>
    <xf numFmtId="49" fontId="14" fillId="0" borderId="14" xfId="0" applyNumberFormat="1" applyFont="1" applyBorder="1" applyAlignment="1">
      <alignment horizontal="center" vertical="center"/>
    </xf>
    <xf numFmtId="0" fontId="15" fillId="0" borderId="14" xfId="0" applyFont="1" applyBorder="1"/>
    <xf numFmtId="0" fontId="1" fillId="0" borderId="14" xfId="1" applyNumberFormat="1" applyFont="1" applyBorder="1"/>
    <xf numFmtId="167" fontId="15" fillId="0" borderId="14" xfId="0" applyNumberFormat="1" applyFont="1" applyBorder="1"/>
    <xf numFmtId="2" fontId="1" fillId="0" borderId="14" xfId="1" applyNumberFormat="1" applyFont="1" applyBorder="1"/>
    <xf numFmtId="0" fontId="15" fillId="0" borderId="14" xfId="0" applyFont="1" applyFill="1" applyBorder="1"/>
    <xf numFmtId="2" fontId="1" fillId="0" borderId="14" xfId="1" applyNumberFormat="1" applyFont="1" applyFill="1" applyBorder="1"/>
    <xf numFmtId="0" fontId="1" fillId="0" borderId="14" xfId="1" applyNumberFormat="1" applyFont="1" applyFill="1" applyBorder="1"/>
    <xf numFmtId="167" fontId="15" fillId="0" borderId="14" xfId="0" applyNumberFormat="1" applyFont="1" applyFill="1" applyBorder="1"/>
    <xf numFmtId="0" fontId="11" fillId="0" borderId="25" xfId="0" applyFont="1" applyBorder="1"/>
    <xf numFmtId="164" fontId="10" fillId="0" borderId="26" xfId="1" applyNumberFormat="1" applyFont="1" applyBorder="1" applyAlignment="1">
      <alignment horizontal="center" vertical="center"/>
    </xf>
    <xf numFmtId="2" fontId="10" fillId="0" borderId="26" xfId="1" applyNumberFormat="1" applyFont="1" applyBorder="1" applyAlignment="1">
      <alignment horizontal="center" vertical="center"/>
    </xf>
    <xf numFmtId="166" fontId="10" fillId="0" borderId="26" xfId="1" applyNumberFormat="1" applyFont="1" applyBorder="1" applyAlignment="1">
      <alignment horizontal="center" vertical="center"/>
    </xf>
    <xf numFmtId="0" fontId="10" fillId="0" borderId="26" xfId="1" applyNumberFormat="1" applyFont="1" applyBorder="1" applyAlignment="1">
      <alignment horizontal="center" vertical="center"/>
    </xf>
    <xf numFmtId="43" fontId="10" fillId="0" borderId="26" xfId="1" applyFont="1" applyBorder="1" applyAlignment="1">
      <alignment horizontal="center" vertical="center"/>
    </xf>
    <xf numFmtId="0" fontId="10" fillId="0" borderId="27" xfId="0" applyFont="1" applyFill="1" applyBorder="1" applyAlignment="1">
      <alignment horizontal="center" vertical="center"/>
    </xf>
    <xf numFmtId="0" fontId="9" fillId="0" borderId="12" xfId="1" applyNumberFormat="1" applyFont="1" applyFill="1" applyBorder="1" applyAlignment="1">
      <alignment horizontal="center" vertical="center" wrapText="1"/>
    </xf>
    <xf numFmtId="0" fontId="10" fillId="0" borderId="16" xfId="0" applyFont="1" applyFill="1" applyBorder="1" applyAlignment="1">
      <alignment horizontal="center" vertical="center" wrapText="1"/>
    </xf>
    <xf numFmtId="164" fontId="10" fillId="0" borderId="17" xfId="1" applyNumberFormat="1" applyFont="1" applyFill="1" applyBorder="1" applyAlignment="1">
      <alignment horizontal="center" vertical="center" wrapText="1"/>
    </xf>
    <xf numFmtId="1" fontId="10" fillId="0" borderId="17" xfId="0" applyNumberFormat="1" applyFont="1" applyFill="1" applyBorder="1" applyAlignment="1">
      <alignment horizontal="center" vertical="center" wrapText="1"/>
    </xf>
    <xf numFmtId="43" fontId="10" fillId="0" borderId="17" xfId="1" applyFont="1" applyFill="1" applyBorder="1" applyAlignment="1">
      <alignment horizontal="center" vertical="center" wrapText="1"/>
    </xf>
    <xf numFmtId="0" fontId="16" fillId="0" borderId="17" xfId="0" applyFont="1" applyFill="1" applyBorder="1" applyAlignment="1">
      <alignment horizontal="center" vertical="center" wrapText="1"/>
    </xf>
    <xf numFmtId="166" fontId="16" fillId="0" borderId="17" xfId="0"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7" xfId="0" applyNumberFormat="1" applyFont="1" applyFill="1" applyBorder="1" applyAlignment="1">
      <alignment horizontal="center" vertical="center" wrapText="1"/>
    </xf>
    <xf numFmtId="2" fontId="10" fillId="0" borderId="17" xfId="1" applyNumberFormat="1" applyFont="1" applyFill="1" applyBorder="1" applyAlignment="1">
      <alignment horizontal="center" vertical="center" wrapText="1"/>
    </xf>
    <xf numFmtId="0" fontId="9" fillId="0" borderId="28" xfId="0" applyFont="1" applyFill="1" applyBorder="1" applyAlignment="1">
      <alignment vertical="center"/>
    </xf>
    <xf numFmtId="0" fontId="9" fillId="2" borderId="7" xfId="0" applyFont="1" applyFill="1" applyBorder="1" applyAlignment="1">
      <alignment horizontal="center" vertical="center"/>
    </xf>
    <xf numFmtId="2" fontId="9" fillId="2" borderId="7" xfId="1" applyNumberFormat="1" applyFont="1" applyFill="1" applyBorder="1" applyAlignment="1">
      <alignment horizontal="center" vertical="center" wrapText="1"/>
    </xf>
    <xf numFmtId="0" fontId="17" fillId="2" borderId="11" xfId="0" applyFont="1" applyFill="1" applyBorder="1" applyAlignment="1">
      <alignment horizontal="left" vertical="center" wrapText="1"/>
    </xf>
    <xf numFmtId="0" fontId="9" fillId="0" borderId="29" xfId="0" applyFont="1" applyFill="1" applyBorder="1" applyAlignment="1">
      <alignment horizontal="center" vertical="center"/>
    </xf>
    <xf numFmtId="164" fontId="9" fillId="0" borderId="26" xfId="1" applyNumberFormat="1" applyFont="1" applyFill="1" applyBorder="1" applyAlignment="1">
      <alignment horizontal="center" vertical="center" wrapText="1"/>
    </xf>
    <xf numFmtId="1" fontId="9" fillId="0" borderId="26" xfId="0" applyNumberFormat="1" applyFont="1" applyFill="1" applyBorder="1" applyAlignment="1">
      <alignment horizontal="center" vertical="center" wrapText="1"/>
    </xf>
    <xf numFmtId="166" fontId="9" fillId="0" borderId="26" xfId="0" applyNumberFormat="1" applyFont="1" applyFill="1" applyBorder="1" applyAlignment="1">
      <alignment horizontal="center" vertical="center" wrapText="1"/>
    </xf>
    <xf numFmtId="14" fontId="9" fillId="0" borderId="26" xfId="0" applyNumberFormat="1" applyFont="1" applyFill="1" applyBorder="1" applyAlignment="1">
      <alignment horizontal="center" vertical="center" wrapText="1"/>
    </xf>
    <xf numFmtId="0" fontId="9" fillId="0" borderId="26" xfId="0" applyFont="1" applyFill="1" applyBorder="1" applyAlignment="1">
      <alignment horizontal="center" vertical="center" wrapText="1"/>
    </xf>
    <xf numFmtId="2" fontId="18" fillId="0" borderId="26" xfId="1" applyNumberFormat="1" applyFont="1" applyFill="1" applyBorder="1" applyAlignment="1">
      <alignment horizontal="center" vertical="center" wrapText="1"/>
    </xf>
    <xf numFmtId="2" fontId="9" fillId="0" borderId="20" xfId="1" applyNumberFormat="1" applyFont="1" applyFill="1" applyBorder="1" applyAlignment="1">
      <alignment horizontal="center" vertical="center" wrapText="1"/>
    </xf>
    <xf numFmtId="2" fontId="9" fillId="0" borderId="26" xfId="1" applyNumberFormat="1" applyFont="1" applyFill="1" applyBorder="1" applyAlignment="1">
      <alignment horizontal="center" vertical="center" wrapText="1"/>
    </xf>
    <xf numFmtId="1" fontId="18" fillId="0" borderId="26" xfId="1" applyNumberFormat="1" applyFont="1" applyFill="1" applyBorder="1" applyAlignment="1">
      <alignment horizontal="center" vertical="center" wrapText="1"/>
    </xf>
    <xf numFmtId="0" fontId="18" fillId="0" borderId="26" xfId="1" applyNumberFormat="1" applyFont="1" applyFill="1" applyBorder="1" applyAlignment="1">
      <alignment horizontal="center" vertical="center"/>
    </xf>
    <xf numFmtId="43" fontId="18" fillId="0" borderId="27" xfId="1" applyFont="1" applyFill="1" applyBorder="1" applyAlignment="1">
      <alignment horizontal="center" vertical="center"/>
    </xf>
    <xf numFmtId="0" fontId="7" fillId="0" borderId="25" xfId="0" applyFont="1" applyBorder="1"/>
    <xf numFmtId="0" fontId="10" fillId="3" borderId="25" xfId="0" applyFont="1" applyFill="1" applyBorder="1" applyAlignment="1">
      <alignment vertical="center"/>
    </xf>
    <xf numFmtId="0" fontId="10" fillId="3" borderId="30" xfId="0" applyFont="1" applyFill="1" applyBorder="1" applyAlignment="1"/>
    <xf numFmtId="164" fontId="10" fillId="4" borderId="31" xfId="1" applyNumberFormat="1" applyFont="1" applyFill="1" applyBorder="1" applyAlignment="1">
      <alignment horizontal="center" vertical="center" wrapText="1"/>
    </xf>
    <xf numFmtId="166" fontId="10" fillId="4" borderId="31" xfId="1" applyNumberFormat="1" applyFont="1" applyFill="1" applyBorder="1" applyAlignment="1">
      <alignment horizontal="center" vertical="center" wrapText="1"/>
    </xf>
    <xf numFmtId="0" fontId="10" fillId="4" borderId="31" xfId="1" applyNumberFormat="1" applyFont="1" applyFill="1" applyBorder="1" applyAlignment="1">
      <alignment horizontal="center" vertical="center" wrapText="1"/>
    </xf>
    <xf numFmtId="2" fontId="10" fillId="4" borderId="31" xfId="1" applyNumberFormat="1" applyFont="1" applyFill="1" applyBorder="1" applyAlignment="1">
      <alignment horizontal="center" vertical="center" wrapText="1"/>
    </xf>
    <xf numFmtId="1" fontId="10" fillId="4" borderId="31" xfId="1" applyNumberFormat="1" applyFont="1" applyFill="1" applyBorder="1" applyAlignment="1">
      <alignment horizontal="center" vertical="center" wrapText="1"/>
    </xf>
    <xf numFmtId="43" fontId="10" fillId="4" borderId="28" xfId="1" applyNumberFormat="1" applyFont="1" applyFill="1" applyBorder="1" applyAlignment="1">
      <alignment horizontal="left" vertical="center" wrapText="1"/>
    </xf>
    <xf numFmtId="0" fontId="11" fillId="0" borderId="32" xfId="0" applyFont="1" applyFill="1" applyBorder="1"/>
    <xf numFmtId="0" fontId="10" fillId="0" borderId="0" xfId="0" applyFont="1" applyFill="1" applyBorder="1" applyAlignment="1">
      <alignment horizontal="center" vertical="center"/>
    </xf>
    <xf numFmtId="164" fontId="12" fillId="0" borderId="0" xfId="1" applyNumberFormat="1" applyFont="1" applyFill="1" applyBorder="1" applyAlignment="1">
      <alignment vertical="center"/>
    </xf>
    <xf numFmtId="0" fontId="11" fillId="0" borderId="0" xfId="0" applyFont="1" applyBorder="1" applyAlignment="1">
      <alignment vertical="center"/>
    </xf>
    <xf numFmtId="43" fontId="11" fillId="0" borderId="0" xfId="1" applyNumberFormat="1" applyFont="1" applyBorder="1" applyAlignment="1">
      <alignment vertical="center"/>
    </xf>
    <xf numFmtId="0" fontId="8" fillId="0" borderId="0" xfId="0" applyFont="1" applyFill="1" applyBorder="1" applyAlignment="1">
      <alignment vertical="center"/>
    </xf>
    <xf numFmtId="164" fontId="8" fillId="0" borderId="0" xfId="1" applyNumberFormat="1" applyFont="1" applyFill="1" applyBorder="1" applyAlignment="1">
      <alignment vertical="center"/>
    </xf>
    <xf numFmtId="43" fontId="8" fillId="0" borderId="0" xfId="1" applyFont="1" applyFill="1" applyBorder="1" applyAlignment="1">
      <alignment vertical="center"/>
    </xf>
    <xf numFmtId="2" fontId="8" fillId="0" borderId="0" xfId="1" applyNumberFormat="1" applyFont="1" applyFill="1" applyBorder="1" applyAlignment="1">
      <alignment vertical="center"/>
    </xf>
    <xf numFmtId="0" fontId="9" fillId="0" borderId="33" xfId="0" applyFont="1" applyBorder="1" applyAlignment="1">
      <alignment vertical="center"/>
    </xf>
    <xf numFmtId="2" fontId="9" fillId="0" borderId="7" xfId="1" applyNumberFormat="1" applyFont="1" applyBorder="1" applyAlignment="1">
      <alignment horizontal="center" vertical="center"/>
    </xf>
    <xf numFmtId="2" fontId="9" fillId="0" borderId="11" xfId="1" applyNumberFormat="1" applyFont="1" applyBorder="1" applyAlignment="1">
      <alignment horizontal="center" vertical="center"/>
    </xf>
    <xf numFmtId="0" fontId="17" fillId="5" borderId="34" xfId="0" applyFont="1" applyFill="1" applyBorder="1" applyAlignment="1">
      <alignment vertical="center"/>
    </xf>
    <xf numFmtId="164" fontId="9" fillId="0" borderId="26" xfId="0" applyNumberFormat="1" applyFont="1" applyBorder="1" applyAlignment="1">
      <alignment vertical="center"/>
    </xf>
    <xf numFmtId="0" fontId="9" fillId="0" borderId="31" xfId="0" applyFont="1" applyBorder="1" applyAlignment="1">
      <alignment vertical="center"/>
    </xf>
    <xf numFmtId="43" fontId="9" fillId="0" borderId="26" xfId="1" applyFont="1" applyBorder="1" applyAlignment="1">
      <alignment vertical="center"/>
    </xf>
    <xf numFmtId="0" fontId="9" fillId="0" borderId="32" xfId="0" applyFont="1" applyBorder="1" applyAlignment="1">
      <alignment vertical="center"/>
    </xf>
    <xf numFmtId="0" fontId="9" fillId="0" borderId="0" xfId="0" applyFont="1" applyBorder="1" applyAlignment="1">
      <alignment vertical="center"/>
    </xf>
    <xf numFmtId="164" fontId="11" fillId="0" borderId="2" xfId="0" applyNumberFormat="1" applyFont="1" applyBorder="1" applyAlignment="1">
      <alignment vertical="center"/>
    </xf>
    <xf numFmtId="43" fontId="11" fillId="0" borderId="4" xfId="1" applyNumberFormat="1" applyFont="1" applyBorder="1" applyAlignment="1">
      <alignment vertical="center"/>
    </xf>
    <xf numFmtId="0" fontId="7" fillId="0" borderId="0" xfId="0" applyFont="1" applyAlignment="1">
      <alignment vertical="center"/>
    </xf>
    <xf numFmtId="0" fontId="8" fillId="0" borderId="0" xfId="1"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0" fontId="11" fillId="0" borderId="2" xfId="0" applyNumberFormat="1" applyFont="1" applyBorder="1" applyAlignment="1">
      <alignment horizontal="center" vertical="center"/>
    </xf>
    <xf numFmtId="43" fontId="12" fillId="0" borderId="0" xfId="1" applyFont="1" applyFill="1" applyBorder="1" applyAlignment="1">
      <alignment vertical="center"/>
    </xf>
    <xf numFmtId="14" fontId="7" fillId="0" borderId="0" xfId="0" applyNumberFormat="1" applyFont="1" applyFill="1" applyAlignment="1">
      <alignment vertical="center"/>
    </xf>
    <xf numFmtId="0" fontId="9" fillId="0" borderId="26" xfId="0" applyNumberFormat="1" applyFont="1" applyBorder="1" applyAlignment="1">
      <alignment vertical="center"/>
    </xf>
    <xf numFmtId="0" fontId="9" fillId="0" borderId="26" xfId="0" applyNumberFormat="1" applyFont="1" applyBorder="1" applyAlignment="1">
      <alignment horizontal="center" vertical="center"/>
    </xf>
    <xf numFmtId="2" fontId="9" fillId="0" borderId="26" xfId="1" applyNumberFormat="1" applyFont="1" applyBorder="1" applyAlignment="1">
      <alignment horizontal="center" vertical="center"/>
    </xf>
    <xf numFmtId="0" fontId="17" fillId="0" borderId="11" xfId="0" applyFont="1" applyFill="1" applyBorder="1" applyAlignment="1">
      <alignment horizontal="left" vertical="center" wrapText="1"/>
    </xf>
    <xf numFmtId="0" fontId="9" fillId="0" borderId="7" xfId="0" applyNumberFormat="1" applyFont="1" applyBorder="1" applyAlignment="1">
      <alignment horizontal="center" vertical="center"/>
    </xf>
    <xf numFmtId="0" fontId="9" fillId="0" borderId="7" xfId="0" applyNumberFormat="1" applyFont="1" applyBorder="1" applyAlignment="1">
      <alignment vertical="center"/>
    </xf>
    <xf numFmtId="2" fontId="9" fillId="0" borderId="35" xfId="1" applyNumberFormat="1" applyFont="1" applyBorder="1" applyAlignment="1">
      <alignment horizontal="center" vertical="center"/>
    </xf>
    <xf numFmtId="2" fontId="11" fillId="0" borderId="4" xfId="1" applyNumberFormat="1" applyFont="1" applyBorder="1" applyAlignment="1">
      <alignment horizontal="center" vertical="center"/>
    </xf>
    <xf numFmtId="2" fontId="13" fillId="0" borderId="14" xfId="1" applyNumberFormat="1" applyFont="1" applyFill="1" applyBorder="1" applyAlignment="1">
      <alignment vertical="center" wrapText="1"/>
    </xf>
    <xf numFmtId="0" fontId="9" fillId="0" borderId="36" xfId="0" applyFont="1" applyBorder="1" applyAlignment="1">
      <alignment horizontal="center" vertical="center" wrapText="1"/>
    </xf>
    <xf numFmtId="164" fontId="9" fillId="0" borderId="37" xfId="1" applyNumberFormat="1" applyFont="1" applyBorder="1" applyAlignment="1">
      <alignment horizontal="center" vertical="center" wrapText="1"/>
    </xf>
    <xf numFmtId="1" fontId="9" fillId="0" borderId="37" xfId="0" applyNumberFormat="1" applyFont="1" applyBorder="1" applyAlignment="1">
      <alignment horizontal="center" vertical="center" wrapText="1"/>
    </xf>
    <xf numFmtId="166" fontId="9" fillId="0" borderId="37" xfId="0" applyNumberFormat="1" applyFont="1" applyBorder="1" applyAlignment="1">
      <alignment horizontal="center" vertical="center" wrapText="1"/>
    </xf>
    <xf numFmtId="14" fontId="9" fillId="0" borderId="37" xfId="0" applyNumberFormat="1" applyFont="1" applyBorder="1" applyAlignment="1">
      <alignment horizontal="center" vertical="center" wrapText="1"/>
    </xf>
    <xf numFmtId="43" fontId="11" fillId="0" borderId="2" xfId="1" applyFont="1" applyBorder="1" applyAlignment="1">
      <alignment horizontal="center" vertical="center"/>
    </xf>
    <xf numFmtId="164" fontId="10" fillId="0" borderId="31" xfId="1" applyNumberFormat="1" applyFont="1" applyBorder="1" applyAlignment="1">
      <alignment horizontal="center" vertical="center"/>
    </xf>
    <xf numFmtId="166" fontId="10" fillId="0" borderId="31" xfId="1" applyNumberFormat="1" applyFont="1" applyBorder="1" applyAlignment="1">
      <alignment horizontal="center" vertical="center"/>
    </xf>
    <xf numFmtId="1" fontId="10" fillId="2" borderId="31" xfId="1" applyNumberFormat="1" applyFont="1" applyFill="1" applyBorder="1" applyAlignment="1">
      <alignment horizontal="center" vertical="center"/>
    </xf>
    <xf numFmtId="43" fontId="10" fillId="2" borderId="31" xfId="1" applyFont="1" applyFill="1" applyBorder="1" applyAlignment="1">
      <alignment horizontal="center" vertical="center"/>
    </xf>
    <xf numFmtId="43" fontId="10" fillId="0" borderId="31" xfId="1" applyFont="1" applyFill="1" applyBorder="1" applyAlignment="1">
      <alignment horizontal="center" vertical="center" wrapText="1"/>
    </xf>
    <xf numFmtId="0" fontId="10" fillId="2" borderId="31" xfId="1" applyNumberFormat="1" applyFont="1" applyFill="1" applyBorder="1" applyAlignment="1">
      <alignment horizontal="center" vertical="center"/>
    </xf>
    <xf numFmtId="2" fontId="10" fillId="2" borderId="31" xfId="1" applyNumberFormat="1" applyFont="1" applyFill="1" applyBorder="1" applyAlignment="1">
      <alignment horizontal="center" vertical="center"/>
    </xf>
    <xf numFmtId="0" fontId="10" fillId="0" borderId="28" xfId="0" applyFont="1" applyFill="1" applyBorder="1" applyAlignment="1">
      <alignment horizontal="left" vertical="center"/>
    </xf>
    <xf numFmtId="0" fontId="17" fillId="0" borderId="21" xfId="0" applyFont="1" applyFill="1" applyBorder="1" applyAlignment="1">
      <alignment vertical="center" wrapText="1"/>
    </xf>
    <xf numFmtId="1" fontId="1" fillId="0" borderId="14" xfId="1" applyNumberFormat="1" applyFont="1" applyBorder="1"/>
    <xf numFmtId="43" fontId="1" fillId="0" borderId="14" xfId="1" applyNumberFormat="1" applyFont="1" applyBorder="1"/>
    <xf numFmtId="0" fontId="10" fillId="0" borderId="0" xfId="0" applyFont="1" applyBorder="1" applyAlignment="1">
      <alignment vertical="center"/>
    </xf>
    <xf numFmtId="0" fontId="9" fillId="0" borderId="7" xfId="1" applyNumberFormat="1" applyFont="1" applyBorder="1" applyAlignment="1">
      <alignment horizontal="center" vertical="center"/>
    </xf>
    <xf numFmtId="43" fontId="9" fillId="0" borderId="7" xfId="1" applyFont="1" applyBorder="1" applyAlignment="1">
      <alignment horizontal="center" vertical="center"/>
    </xf>
    <xf numFmtId="0" fontId="9" fillId="5" borderId="8" xfId="0" applyFont="1" applyFill="1" applyBorder="1" applyAlignment="1">
      <alignment vertical="center"/>
    </xf>
    <xf numFmtId="164" fontId="9" fillId="0" borderId="7" xfId="0" applyNumberFormat="1" applyFont="1" applyBorder="1" applyAlignment="1">
      <alignment vertical="center"/>
    </xf>
    <xf numFmtId="0" fontId="9" fillId="0" borderId="7" xfId="0" applyFont="1" applyBorder="1" applyAlignment="1">
      <alignment vertical="center"/>
    </xf>
    <xf numFmtId="43" fontId="9" fillId="0" borderId="35" xfId="1" applyFont="1" applyBorder="1" applyAlignment="1">
      <alignment vertical="center"/>
    </xf>
    <xf numFmtId="0" fontId="11" fillId="3" borderId="0" xfId="0" applyFont="1" applyFill="1" applyBorder="1" applyAlignment="1">
      <alignment vertical="center"/>
    </xf>
    <xf numFmtId="164" fontId="11" fillId="3" borderId="0" xfId="0" applyNumberFormat="1" applyFont="1" applyFill="1" applyBorder="1" applyAlignment="1">
      <alignment vertical="center"/>
    </xf>
    <xf numFmtId="0" fontId="12" fillId="0" borderId="0" xfId="0" applyFont="1" applyFill="1" applyBorder="1" applyAlignment="1">
      <alignment vertical="center"/>
    </xf>
    <xf numFmtId="43" fontId="13" fillId="0" borderId="14" xfId="1" applyNumberFormat="1" applyFont="1" applyFill="1" applyBorder="1" applyAlignment="1">
      <alignment horizontal="center" vertical="center" wrapText="1"/>
    </xf>
    <xf numFmtId="43" fontId="8" fillId="0" borderId="24" xfId="1" applyFont="1" applyBorder="1" applyAlignment="1">
      <alignment vertical="center"/>
    </xf>
    <xf numFmtId="0" fontId="13" fillId="0" borderId="38" xfId="0" applyFont="1" applyFill="1" applyBorder="1" applyAlignment="1">
      <alignment vertical="top" wrapText="1"/>
    </xf>
    <xf numFmtId="165" fontId="9" fillId="0" borderId="31" xfId="0" applyNumberFormat="1" applyFont="1" applyFill="1" applyBorder="1" applyAlignment="1">
      <alignment horizontal="center" vertical="center" wrapText="1"/>
    </xf>
    <xf numFmtId="164" fontId="11" fillId="0" borderId="2" xfId="1" applyNumberFormat="1" applyFont="1" applyBorder="1" applyAlignment="1">
      <alignment horizontal="center" vertical="center"/>
    </xf>
    <xf numFmtId="164" fontId="11" fillId="0" borderId="26" xfId="1" applyNumberFormat="1" applyFont="1" applyBorder="1" applyAlignment="1">
      <alignment horizontal="center" vertical="center"/>
    </xf>
    <xf numFmtId="165" fontId="9" fillId="0" borderId="7" xfId="0" applyNumberFormat="1" applyFont="1" applyFill="1" applyBorder="1" applyAlignment="1">
      <alignment horizontal="center" vertical="center"/>
    </xf>
    <xf numFmtId="0" fontId="11" fillId="0" borderId="17" xfId="0" applyFont="1" applyFill="1" applyBorder="1" applyAlignment="1">
      <alignment horizontal="center" vertical="center" wrapText="1"/>
    </xf>
    <xf numFmtId="165" fontId="9" fillId="0" borderId="20" xfId="0" applyNumberFormat="1" applyFont="1" applyFill="1" applyBorder="1" applyAlignment="1">
      <alignment horizontal="center" vertical="center"/>
    </xf>
    <xf numFmtId="0" fontId="11" fillId="0" borderId="37"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9" fillId="0" borderId="21" xfId="0" applyFont="1" applyFill="1" applyBorder="1" applyAlignment="1">
      <alignment vertical="center" wrapText="1"/>
    </xf>
    <xf numFmtId="0" fontId="9" fillId="0" borderId="39" xfId="0" applyFont="1" applyFill="1" applyBorder="1" applyAlignment="1">
      <alignment vertical="center" wrapText="1"/>
    </xf>
    <xf numFmtId="165" fontId="9" fillId="0" borderId="12" xfId="0" applyNumberFormat="1" applyFont="1" applyFill="1" applyBorder="1" applyAlignment="1">
      <alignment horizontal="center" vertical="center"/>
    </xf>
    <xf numFmtId="165" fontId="9" fillId="0" borderId="14" xfId="0" applyNumberFormat="1" applyFont="1" applyFill="1" applyBorder="1" applyAlignment="1">
      <alignment horizontal="center" vertical="center"/>
    </xf>
    <xf numFmtId="165" fontId="9" fillId="0" borderId="14" xfId="0" applyNumberFormat="1" applyFont="1" applyFill="1" applyBorder="1" applyAlignment="1">
      <alignment horizontal="center" vertical="center" wrapText="1"/>
    </xf>
    <xf numFmtId="165" fontId="17" fillId="0" borderId="31" xfId="0" applyNumberFormat="1" applyFont="1" applyFill="1" applyBorder="1" applyAlignment="1">
      <alignment vertical="center" wrapText="1"/>
    </xf>
    <xf numFmtId="0" fontId="9" fillId="0" borderId="20" xfId="0" applyFont="1" applyFill="1" applyBorder="1" applyAlignment="1">
      <alignment horizontal="center" vertical="center" wrapText="1"/>
    </xf>
    <xf numFmtId="2" fontId="9" fillId="0" borderId="40" xfId="1" applyNumberFormat="1" applyFont="1" applyFill="1" applyBorder="1" applyAlignment="1">
      <alignment horizontal="center" vertical="center" wrapText="1"/>
    </xf>
    <xf numFmtId="0" fontId="13" fillId="6" borderId="22" xfId="0" applyFont="1" applyFill="1" applyBorder="1" applyAlignment="1">
      <alignment horizontal="left" vertical="center" wrapText="1"/>
    </xf>
    <xf numFmtId="0" fontId="9" fillId="0" borderId="41" xfId="0" applyFont="1" applyFill="1" applyBorder="1" applyAlignment="1">
      <alignment horizontal="center" vertical="center"/>
    </xf>
    <xf numFmtId="164" fontId="9" fillId="0" borderId="20" xfId="1" applyNumberFormat="1" applyFont="1" applyFill="1" applyBorder="1" applyAlignment="1">
      <alignment horizontal="center" vertical="center" wrapText="1"/>
    </xf>
    <xf numFmtId="1" fontId="9" fillId="0" borderId="20" xfId="0" applyNumberFormat="1" applyFont="1" applyFill="1" applyBorder="1" applyAlignment="1">
      <alignment horizontal="center" vertical="center" wrapText="1"/>
    </xf>
    <xf numFmtId="166" fontId="9" fillId="0" borderId="20" xfId="0" applyNumberFormat="1" applyFont="1" applyFill="1" applyBorder="1" applyAlignment="1">
      <alignment horizontal="center" vertical="center" wrapText="1"/>
    </xf>
    <xf numFmtId="14" fontId="9" fillId="0" borderId="20" xfId="0" applyNumberFormat="1" applyFont="1" applyFill="1" applyBorder="1" applyAlignment="1">
      <alignment horizontal="center" vertical="center" wrapText="1"/>
    </xf>
    <xf numFmtId="2" fontId="9" fillId="0" borderId="26" xfId="0" applyNumberFormat="1" applyFont="1" applyFill="1" applyBorder="1" applyAlignment="1">
      <alignment horizontal="center" vertical="center" wrapText="1"/>
    </xf>
    <xf numFmtId="0" fontId="9" fillId="0" borderId="26" xfId="1" applyNumberFormat="1" applyFont="1" applyFill="1" applyBorder="1" applyAlignment="1">
      <alignment horizontal="center" vertical="center" wrapText="1"/>
    </xf>
    <xf numFmtId="1" fontId="9" fillId="0" borderId="26" xfId="1" applyNumberFormat="1" applyFont="1" applyFill="1" applyBorder="1" applyAlignment="1">
      <alignment horizontal="center" vertical="center" wrapText="1"/>
    </xf>
    <xf numFmtId="2" fontId="9" fillId="0" borderId="27" xfId="1" applyNumberFormat="1" applyFont="1" applyFill="1" applyBorder="1" applyAlignment="1">
      <alignment horizontal="center" vertical="center" wrapText="1"/>
    </xf>
    <xf numFmtId="164" fontId="10" fillId="0" borderId="17" xfId="1" applyNumberFormat="1" applyFont="1" applyFill="1" applyBorder="1" applyAlignment="1">
      <alignment horizontal="center" vertical="center"/>
    </xf>
    <xf numFmtId="2" fontId="10" fillId="0" borderId="17" xfId="1" applyNumberFormat="1" applyFont="1" applyFill="1" applyBorder="1" applyAlignment="1">
      <alignment horizontal="center" vertical="center"/>
    </xf>
    <xf numFmtId="164" fontId="11" fillId="0" borderId="17" xfId="1" applyNumberFormat="1" applyFont="1" applyFill="1" applyBorder="1" applyAlignment="1">
      <alignment horizontal="center" vertical="center"/>
    </xf>
    <xf numFmtId="166" fontId="10" fillId="0" borderId="17" xfId="1" applyNumberFormat="1" applyFont="1" applyFill="1" applyBorder="1" applyAlignment="1">
      <alignment horizontal="center" vertical="center"/>
    </xf>
    <xf numFmtId="0" fontId="10" fillId="0" borderId="17" xfId="1" applyNumberFormat="1" applyFont="1" applyFill="1" applyBorder="1" applyAlignment="1">
      <alignment horizontal="center" vertical="center"/>
    </xf>
    <xf numFmtId="43" fontId="10" fillId="0" borderId="17" xfId="1" applyFont="1" applyFill="1" applyBorder="1" applyAlignment="1">
      <alignment horizontal="center" vertical="center"/>
    </xf>
    <xf numFmtId="0" fontId="10" fillId="0" borderId="17" xfId="0" applyFont="1" applyFill="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4" xfId="0" applyFont="1" applyBorder="1" applyAlignment="1">
      <alignment horizontal="center" vertical="top" wrapText="1"/>
    </xf>
    <xf numFmtId="0" fontId="8" fillId="0" borderId="0" xfId="0" applyFont="1" applyFill="1" applyBorder="1"/>
    <xf numFmtId="2" fontId="8" fillId="0" borderId="0" xfId="1" applyNumberFormat="1" applyFont="1" applyFill="1" applyBorder="1" applyAlignment="1"/>
    <xf numFmtId="0" fontId="12" fillId="0" borderId="25" xfId="0" applyFont="1" applyFill="1" applyBorder="1" applyAlignment="1">
      <alignment vertical="center" wrapText="1"/>
    </xf>
    <xf numFmtId="0" fontId="12" fillId="0" borderId="42" xfId="0" applyFont="1" applyFill="1" applyBorder="1" applyAlignment="1">
      <alignment vertical="center" wrapText="1"/>
    </xf>
    <xf numFmtId="0" fontId="11" fillId="0" borderId="42" xfId="1" applyNumberFormat="1" applyFont="1" applyFill="1" applyBorder="1" applyAlignment="1">
      <alignment horizontal="center" vertical="center"/>
    </xf>
    <xf numFmtId="43" fontId="11" fillId="0" borderId="42" xfId="1" applyFont="1" applyFill="1" applyBorder="1" applyAlignment="1">
      <alignment vertical="center"/>
    </xf>
    <xf numFmtId="2" fontId="11" fillId="0" borderId="42" xfId="1" applyNumberFormat="1" applyFont="1" applyBorder="1" applyAlignment="1">
      <alignment vertical="center"/>
    </xf>
    <xf numFmtId="2" fontId="11" fillId="0" borderId="43" xfId="1" applyNumberFormat="1" applyFont="1" applyBorder="1" applyAlignment="1">
      <alignment vertical="center"/>
    </xf>
    <xf numFmtId="43" fontId="13" fillId="0" borderId="21" xfId="1" applyFont="1" applyBorder="1" applyAlignment="1">
      <alignment vertical="center"/>
    </xf>
    <xf numFmtId="164" fontId="13" fillId="0" borderId="21" xfId="1" applyNumberFormat="1" applyFont="1" applyBorder="1" applyAlignment="1">
      <alignment vertical="center"/>
    </xf>
    <xf numFmtId="1" fontId="10" fillId="0" borderId="2" xfId="1" applyNumberFormat="1" applyFont="1" applyBorder="1" applyAlignment="1">
      <alignment horizontal="center" vertical="center"/>
    </xf>
    <xf numFmtId="0" fontId="13" fillId="2" borderId="11" xfId="0" applyFont="1" applyFill="1" applyBorder="1" applyAlignment="1">
      <alignment horizontal="left" vertical="center" wrapText="1"/>
    </xf>
    <xf numFmtId="2" fontId="10" fillId="0" borderId="31" xfId="1" applyNumberFormat="1" applyFont="1" applyBorder="1" applyAlignment="1">
      <alignment horizontal="center" vertical="center"/>
    </xf>
    <xf numFmtId="0" fontId="8" fillId="2" borderId="3" xfId="0" applyFont="1" applyFill="1" applyBorder="1" applyAlignment="1">
      <alignment vertical="center"/>
    </xf>
    <xf numFmtId="164" fontId="8" fillId="0" borderId="24" xfId="1" applyNumberFormat="1" applyFont="1" applyBorder="1" applyAlignment="1">
      <alignment vertical="center"/>
    </xf>
    <xf numFmtId="0" fontId="9" fillId="0" borderId="31" xfId="1" applyNumberFormat="1" applyFont="1" applyBorder="1" applyAlignment="1">
      <alignment horizontal="center" vertical="center"/>
    </xf>
    <xf numFmtId="43" fontId="9" fillId="0" borderId="31" xfId="1" applyFont="1" applyBorder="1" applyAlignment="1">
      <alignment vertical="center"/>
    </xf>
    <xf numFmtId="2" fontId="9" fillId="0" borderId="31" xfId="1" applyNumberFormat="1" applyFont="1" applyBorder="1" applyAlignment="1">
      <alignment horizontal="center" vertical="center"/>
    </xf>
    <xf numFmtId="2" fontId="9" fillId="0" borderId="28" xfId="1" applyNumberFormat="1" applyFont="1" applyBorder="1" applyAlignment="1">
      <alignment horizontal="center" vertical="center"/>
    </xf>
    <xf numFmtId="43" fontId="13" fillId="0" borderId="14" xfId="1" applyFont="1" applyFill="1" applyBorder="1" applyAlignment="1">
      <alignment horizontal="center" vertical="center" wrapText="1"/>
    </xf>
    <xf numFmtId="0" fontId="10" fillId="0" borderId="0" xfId="0" applyFont="1" applyBorder="1" applyAlignment="1">
      <alignment horizontal="center" vertical="center"/>
    </xf>
    <xf numFmtId="0" fontId="17" fillId="0" borderId="38" xfId="0" applyFont="1" applyFill="1" applyBorder="1" applyAlignment="1">
      <alignment horizontal="left" vertical="center" wrapText="1"/>
    </xf>
    <xf numFmtId="0" fontId="8" fillId="0" borderId="0" xfId="0" applyFont="1" applyBorder="1" applyAlignment="1">
      <alignment horizontal="right" vertical="top"/>
    </xf>
    <xf numFmtId="0" fontId="7" fillId="0" borderId="14" xfId="0" applyFont="1" applyBorder="1" applyAlignment="1">
      <alignment vertical="center"/>
    </xf>
    <xf numFmtId="0" fontId="8" fillId="0" borderId="14" xfId="0" applyFont="1" applyFill="1" applyBorder="1" applyAlignment="1">
      <alignment horizontal="center" vertical="center" wrapText="1"/>
    </xf>
    <xf numFmtId="164" fontId="13" fillId="0" borderId="14" xfId="1" applyNumberFormat="1" applyFont="1" applyFill="1" applyBorder="1" applyAlignment="1">
      <alignment horizontal="center" vertical="center" wrapText="1"/>
    </xf>
    <xf numFmtId="164" fontId="13" fillId="4" borderId="14" xfId="1" applyNumberFormat="1" applyFont="1" applyFill="1" applyBorder="1" applyAlignment="1">
      <alignment horizontal="center" vertical="center" wrapText="1"/>
    </xf>
    <xf numFmtId="164" fontId="8" fillId="0" borderId="14" xfId="1" applyNumberFormat="1" applyFont="1" applyFill="1" applyBorder="1" applyAlignment="1">
      <alignment horizontal="center" vertical="center" wrapText="1"/>
    </xf>
    <xf numFmtId="0" fontId="8" fillId="0" borderId="14" xfId="0" applyFont="1" applyFill="1" applyBorder="1" applyAlignment="1">
      <alignment horizontal="left" vertical="center"/>
    </xf>
    <xf numFmtId="0" fontId="19" fillId="0" borderId="14" xfId="0" applyFont="1" applyFill="1" applyBorder="1" applyAlignment="1">
      <alignment horizontal="left" vertical="center"/>
    </xf>
    <xf numFmtId="0" fontId="8" fillId="0" borderId="14" xfId="0" applyFont="1" applyBorder="1" applyAlignment="1">
      <alignment vertical="center"/>
    </xf>
    <xf numFmtId="43" fontId="8" fillId="0" borderId="14" xfId="1" applyFont="1" applyFill="1" applyBorder="1" applyAlignment="1">
      <alignment horizontal="center" vertical="center" wrapText="1"/>
    </xf>
    <xf numFmtId="0" fontId="8" fillId="0" borderId="14" xfId="0" applyFont="1" applyFill="1" applyBorder="1" applyAlignment="1">
      <alignment vertical="center"/>
    </xf>
    <xf numFmtId="0" fontId="8" fillId="2" borderId="14" xfId="0" applyFont="1" applyFill="1" applyBorder="1" applyAlignment="1">
      <alignment horizontal="left" vertical="center"/>
    </xf>
    <xf numFmtId="164" fontId="8" fillId="2" borderId="14"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43" fontId="13" fillId="4" borderId="14" xfId="1" applyFont="1" applyFill="1" applyBorder="1" applyAlignment="1">
      <alignment horizontal="center" vertical="center" wrapText="1"/>
    </xf>
    <xf numFmtId="0" fontId="20" fillId="0" borderId="14" xfId="0" applyFont="1" applyBorder="1" applyAlignment="1">
      <alignment horizontal="center" vertical="center"/>
    </xf>
    <xf numFmtId="0" fontId="21" fillId="0" borderId="14" xfId="0" applyFont="1" applyBorder="1" applyAlignment="1">
      <alignment horizontal="center" vertical="center"/>
    </xf>
    <xf numFmtId="164" fontId="22" fillId="0" borderId="8" xfId="1" applyNumberFormat="1" applyFont="1" applyBorder="1" applyAlignment="1">
      <alignment horizontal="left" vertical="center"/>
    </xf>
    <xf numFmtId="164" fontId="22" fillId="0" borderId="9" xfId="1" applyNumberFormat="1" applyFont="1" applyBorder="1" applyAlignment="1">
      <alignment horizontal="left" vertical="center"/>
    </xf>
    <xf numFmtId="43" fontId="13" fillId="4" borderId="14" xfId="1" applyNumberFormat="1" applyFont="1" applyFill="1" applyBorder="1" applyAlignment="1">
      <alignment horizontal="center" vertical="center" wrapText="1"/>
    </xf>
    <xf numFmtId="43" fontId="8" fillId="0" borderId="14" xfId="1" applyNumberFormat="1" applyFont="1" applyFill="1" applyBorder="1" applyAlignment="1">
      <alignment horizontal="center" vertical="center" wrapText="1"/>
    </xf>
    <xf numFmtId="0" fontId="7" fillId="0" borderId="0" xfId="0" applyFont="1" applyAlignment="1">
      <alignment horizontal="right" vertical="center"/>
    </xf>
    <xf numFmtId="0" fontId="23" fillId="0" borderId="0" xfId="0" applyFont="1" applyBorder="1" applyAlignment="1">
      <alignment horizontal="center" vertical="center"/>
    </xf>
    <xf numFmtId="43" fontId="13" fillId="0" borderId="11" xfId="1" applyFont="1" applyBorder="1" applyAlignment="1">
      <alignment vertical="center"/>
    </xf>
    <xf numFmtId="164" fontId="13" fillId="0" borderId="11" xfId="1" applyNumberFormat="1" applyFont="1" applyBorder="1" applyAlignment="1">
      <alignment vertical="center"/>
    </xf>
    <xf numFmtId="43" fontId="8" fillId="2" borderId="14" xfId="1" applyNumberFormat="1" applyFont="1" applyFill="1" applyBorder="1" applyAlignment="1">
      <alignment horizontal="center" vertical="center" wrapText="1"/>
    </xf>
    <xf numFmtId="0" fontId="8" fillId="6" borderId="14" xfId="0" applyFont="1" applyFill="1" applyBorder="1" applyAlignment="1">
      <alignment vertical="center"/>
    </xf>
    <xf numFmtId="0" fontId="8" fillId="6" borderId="14" xfId="0" applyFont="1" applyFill="1" applyBorder="1" applyAlignment="1">
      <alignment horizontal="left" vertical="center"/>
    </xf>
    <xf numFmtId="164" fontId="8" fillId="6" borderId="14" xfId="1" applyNumberFormat="1" applyFont="1" applyFill="1" applyBorder="1" applyAlignment="1">
      <alignment horizontal="center" vertical="center" wrapText="1"/>
    </xf>
    <xf numFmtId="43" fontId="8" fillId="6" borderId="14" xfId="1" applyFont="1" applyFill="1" applyBorder="1" applyAlignment="1">
      <alignment horizontal="center" vertical="center" wrapText="1"/>
    </xf>
    <xf numFmtId="0" fontId="11" fillId="0" borderId="37" xfId="0" applyFont="1" applyFill="1" applyBorder="1" applyAlignment="1">
      <alignment horizontal="center" vertical="center"/>
    </xf>
    <xf numFmtId="164" fontId="8" fillId="0" borderId="37" xfId="1" applyNumberFormat="1" applyFont="1" applyFill="1" applyBorder="1" applyAlignment="1">
      <alignment horizontal="center" vertical="center" wrapText="1"/>
    </xf>
    <xf numFmtId="43" fontId="8" fillId="0" borderId="37" xfId="1" applyFont="1" applyFill="1" applyBorder="1" applyAlignment="1">
      <alignment horizontal="center" vertical="center" wrapText="1"/>
    </xf>
    <xf numFmtId="0" fontId="8" fillId="0" borderId="37" xfId="0" applyFont="1" applyFill="1" applyBorder="1"/>
    <xf numFmtId="164" fontId="13" fillId="0" borderId="35" xfId="1" applyNumberFormat="1" applyFont="1" applyBorder="1" applyAlignment="1">
      <alignment vertical="center"/>
    </xf>
    <xf numFmtId="164" fontId="19" fillId="0" borderId="23" xfId="1" applyNumberFormat="1" applyFont="1" applyBorder="1" applyAlignment="1">
      <alignment horizontal="right" vertical="center"/>
    </xf>
    <xf numFmtId="0" fontId="7" fillId="5" borderId="14" xfId="0" applyFont="1" applyFill="1" applyBorder="1"/>
    <xf numFmtId="0" fontId="11" fillId="5" borderId="14" xfId="0" applyFont="1" applyFill="1" applyBorder="1" applyAlignment="1">
      <alignment horizontal="center" vertical="center"/>
    </xf>
    <xf numFmtId="164" fontId="8" fillId="5" borderId="14" xfId="1" applyNumberFormat="1" applyFont="1" applyFill="1" applyBorder="1" applyAlignment="1">
      <alignment horizontal="center" vertical="center" wrapText="1"/>
    </xf>
    <xf numFmtId="0" fontId="20" fillId="0" borderId="14" xfId="0" applyFont="1" applyFill="1" applyBorder="1" applyAlignment="1">
      <alignment horizontal="center" vertical="center"/>
    </xf>
    <xf numFmtId="0" fontId="8" fillId="0" borderId="20" xfId="0" applyFont="1" applyBorder="1" applyAlignment="1">
      <alignment horizontal="center" vertical="center" wrapText="1"/>
    </xf>
    <xf numFmtId="0" fontId="8" fillId="0" borderId="20" xfId="0" applyFont="1" applyFill="1" applyBorder="1" applyAlignment="1">
      <alignment horizontal="center" vertical="center" wrapText="1"/>
    </xf>
    <xf numFmtId="0" fontId="7" fillId="0" borderId="14" xfId="0" applyFont="1" applyFill="1" applyBorder="1" applyAlignment="1">
      <alignment vertical="center" wrapText="1"/>
    </xf>
    <xf numFmtId="0" fontId="8" fillId="0" borderId="0" xfId="0" applyFont="1" applyBorder="1" applyAlignment="1">
      <alignment horizontal="right" vertical="center"/>
    </xf>
    <xf numFmtId="164" fontId="8" fillId="0" borderId="0" xfId="1" applyNumberFormat="1" applyFont="1" applyBorder="1" applyAlignment="1">
      <alignment vertical="center"/>
    </xf>
    <xf numFmtId="43" fontId="8" fillId="0" borderId="0" xfId="1" applyFont="1" applyBorder="1" applyAlignment="1">
      <alignment vertical="center"/>
    </xf>
    <xf numFmtId="0" fontId="19" fillId="0" borderId="0" xfId="0" applyFont="1"/>
    <xf numFmtId="0" fontId="19" fillId="0" borderId="0" xfId="0" applyFont="1" applyBorder="1" applyAlignment="1">
      <alignment horizontal="left" vertical="center"/>
    </xf>
    <xf numFmtId="0" fontId="8" fillId="0" borderId="14" xfId="0" applyFont="1" applyBorder="1" applyAlignment="1">
      <alignment horizontal="center" vertical="center" wrapText="1"/>
    </xf>
    <xf numFmtId="0" fontId="7" fillId="0" borderId="14" xfId="0" applyFont="1" applyBorder="1" applyAlignment="1">
      <alignment horizontal="center" vertical="center"/>
    </xf>
    <xf numFmtId="0" fontId="23" fillId="0" borderId="0" xfId="0" applyFont="1" applyBorder="1" applyAlignment="1">
      <alignment horizontal="center" vertical="center" wrapText="1"/>
    </xf>
    <xf numFmtId="0" fontId="8" fillId="0" borderId="14" xfId="0" applyFont="1" applyBorder="1" applyAlignment="1">
      <alignment horizontal="left" vertical="center" wrapText="1"/>
    </xf>
    <xf numFmtId="43" fontId="7" fillId="0" borderId="0" xfId="1" applyFont="1"/>
    <xf numFmtId="0" fontId="10" fillId="0" borderId="0" xfId="0" applyFont="1" applyBorder="1" applyAlignment="1">
      <alignment horizontal="center" vertical="center"/>
    </xf>
    <xf numFmtId="0" fontId="7" fillId="0" borderId="20" xfId="0" applyFont="1" applyFill="1" applyBorder="1" applyAlignment="1">
      <alignment horizontal="center" vertical="center" wrapText="1"/>
    </xf>
    <xf numFmtId="0" fontId="7" fillId="0" borderId="20" xfId="0" applyFont="1" applyBorder="1" applyAlignment="1">
      <alignment horizontal="center" vertical="center"/>
    </xf>
    <xf numFmtId="2" fontId="13" fillId="0" borderId="0" xfId="1" applyNumberFormat="1" applyFont="1" applyFill="1" applyBorder="1" applyAlignment="1">
      <alignment vertical="center" wrapText="1"/>
    </xf>
    <xf numFmtId="0" fontId="7" fillId="0" borderId="20" xfId="0" applyFont="1" applyFill="1" applyBorder="1" applyAlignment="1">
      <alignment vertical="center" wrapText="1"/>
    </xf>
    <xf numFmtId="43" fontId="8" fillId="5" borderId="14" xfId="1" applyFont="1" applyFill="1" applyBorder="1" applyAlignment="1">
      <alignment horizontal="center" vertical="center" wrapText="1"/>
    </xf>
    <xf numFmtId="0" fontId="19" fillId="2" borderId="14" xfId="0" applyFont="1" applyFill="1" applyBorder="1" applyAlignment="1">
      <alignment horizontal="left" vertical="center"/>
    </xf>
    <xf numFmtId="0" fontId="24" fillId="0" borderId="64" xfId="0" applyFont="1" applyFill="1" applyBorder="1" applyAlignment="1">
      <alignment vertical="center" wrapText="1"/>
    </xf>
    <xf numFmtId="0" fontId="24" fillId="0" borderId="65" xfId="0" applyFont="1" applyBorder="1" applyAlignment="1">
      <alignment vertical="center"/>
    </xf>
    <xf numFmtId="43" fontId="13" fillId="0" borderId="11" xfId="1" applyFont="1" applyBorder="1" applyAlignment="1">
      <alignment horizontal="center" vertical="center"/>
    </xf>
    <xf numFmtId="0" fontId="21" fillId="2" borderId="14" xfId="0" applyFont="1" applyFill="1" applyBorder="1" applyAlignment="1">
      <alignment horizontal="center" vertical="center"/>
    </xf>
    <xf numFmtId="0" fontId="8" fillId="3" borderId="14" xfId="0" applyFont="1" applyFill="1" applyBorder="1" applyAlignment="1">
      <alignment horizontal="left" vertical="center"/>
    </xf>
    <xf numFmtId="164" fontId="8" fillId="3" borderId="14" xfId="1" applyNumberFormat="1" applyFont="1" applyFill="1" applyBorder="1" applyAlignment="1">
      <alignment horizontal="center" vertical="center" wrapText="1"/>
    </xf>
    <xf numFmtId="43" fontId="8" fillId="3" borderId="14" xfId="1" applyFont="1" applyFill="1" applyBorder="1" applyAlignment="1">
      <alignment horizontal="center" vertical="center" wrapText="1"/>
    </xf>
    <xf numFmtId="0" fontId="21" fillId="3" borderId="14" xfId="0" applyFont="1" applyFill="1" applyBorder="1" applyAlignment="1">
      <alignment horizontal="center" vertical="center"/>
    </xf>
    <xf numFmtId="164" fontId="19" fillId="0" borderId="14" xfId="1" applyNumberFormat="1"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29" xfId="0" applyFont="1" applyFill="1" applyBorder="1" applyAlignment="1">
      <alignment horizontal="center" vertical="center" wrapText="1"/>
    </xf>
    <xf numFmtId="165" fontId="21" fillId="0" borderId="14" xfId="0" applyNumberFormat="1" applyFont="1" applyFill="1" applyBorder="1" applyAlignment="1">
      <alignment horizontal="center" vertical="center" wrapText="1"/>
    </xf>
    <xf numFmtId="165" fontId="21" fillId="2" borderId="14" xfId="0" applyNumberFormat="1" applyFont="1" applyFill="1" applyBorder="1" applyAlignment="1">
      <alignment horizontal="center" vertical="center" wrapText="1"/>
    </xf>
    <xf numFmtId="0" fontId="19" fillId="0" borderId="14" xfId="0" applyFont="1" applyBorder="1"/>
    <xf numFmtId="164" fontId="19" fillId="5" borderId="14" xfId="1" applyNumberFormat="1" applyFont="1" applyFill="1" applyBorder="1" applyAlignment="1">
      <alignment horizontal="center" vertical="center" wrapText="1"/>
    </xf>
    <xf numFmtId="0" fontId="19" fillId="0" borderId="37" xfId="0" applyFont="1" applyFill="1" applyBorder="1" applyAlignment="1">
      <alignment horizontal="left" vertical="center"/>
    </xf>
    <xf numFmtId="164" fontId="13" fillId="4" borderId="37" xfId="1" applyNumberFormat="1" applyFont="1" applyFill="1" applyBorder="1" applyAlignment="1">
      <alignment horizontal="center" vertical="center" wrapText="1"/>
    </xf>
    <xf numFmtId="43" fontId="13" fillId="4" borderId="37" xfId="1" applyNumberFormat="1" applyFont="1" applyFill="1" applyBorder="1" applyAlignment="1">
      <alignment horizontal="center" vertical="center" wrapText="1"/>
    </xf>
    <xf numFmtId="43" fontId="13" fillId="0" borderId="37" xfId="1" applyFont="1" applyFill="1" applyBorder="1" applyAlignment="1">
      <alignment horizontal="center" vertical="center" wrapText="1"/>
    </xf>
    <xf numFmtId="164" fontId="13" fillId="0" borderId="37" xfId="1" applyNumberFormat="1" applyFont="1" applyFill="1" applyBorder="1" applyAlignment="1">
      <alignment horizontal="center" vertical="center" wrapText="1"/>
    </xf>
    <xf numFmtId="165" fontId="21" fillId="0" borderId="37" xfId="0" applyNumberFormat="1" applyFont="1" applyFill="1" applyBorder="1" applyAlignment="1">
      <alignment horizontal="center" vertical="center" wrapText="1"/>
    </xf>
    <xf numFmtId="43" fontId="13" fillId="4" borderId="37" xfId="1" applyFont="1" applyFill="1" applyBorder="1" applyAlignment="1">
      <alignment horizontal="center" vertical="center" wrapText="1"/>
    </xf>
    <xf numFmtId="0" fontId="19" fillId="0" borderId="20" xfId="0" applyFont="1" applyFill="1" applyBorder="1" applyAlignment="1">
      <alignment horizontal="left" vertical="center"/>
    </xf>
    <xf numFmtId="164" fontId="13" fillId="0" borderId="20" xfId="1" applyNumberFormat="1" applyFont="1" applyFill="1" applyBorder="1" applyAlignment="1">
      <alignment horizontal="center" vertical="center" wrapText="1"/>
    </xf>
    <xf numFmtId="43" fontId="13" fillId="4" borderId="20" xfId="1" applyFont="1" applyFill="1" applyBorder="1" applyAlignment="1">
      <alignment horizontal="center" vertical="center" wrapText="1"/>
    </xf>
    <xf numFmtId="43" fontId="13" fillId="4" borderId="21" xfId="1" applyFont="1" applyFill="1" applyBorder="1" applyAlignment="1">
      <alignment horizontal="center" vertical="center" wrapText="1"/>
    </xf>
    <xf numFmtId="43" fontId="13" fillId="4" borderId="39" xfId="1" applyFont="1" applyFill="1" applyBorder="1" applyAlignment="1">
      <alignment horizontal="center" vertical="center" wrapText="1"/>
    </xf>
    <xf numFmtId="0" fontId="4" fillId="0" borderId="23" xfId="0" applyFont="1" applyBorder="1" applyAlignment="1"/>
    <xf numFmtId="0" fontId="4" fillId="0" borderId="17" xfId="0" applyFont="1" applyBorder="1" applyAlignment="1"/>
    <xf numFmtId="0" fontId="8" fillId="3" borderId="17" xfId="0" applyFont="1" applyFill="1" applyBorder="1" applyAlignment="1">
      <alignment horizontal="left" vertical="center"/>
    </xf>
    <xf numFmtId="164" fontId="8" fillId="3" borderId="17" xfId="1" applyNumberFormat="1" applyFont="1" applyFill="1" applyBorder="1" applyAlignment="1">
      <alignment horizontal="center" vertical="center" wrapText="1"/>
    </xf>
    <xf numFmtId="43" fontId="8" fillId="3" borderId="17" xfId="1" applyFont="1" applyFill="1" applyBorder="1" applyAlignment="1">
      <alignment horizontal="center" vertical="center" wrapText="1"/>
    </xf>
    <xf numFmtId="0" fontId="21" fillId="3" borderId="17" xfId="0" applyFont="1" applyFill="1" applyBorder="1" applyAlignment="1">
      <alignment horizontal="center" vertical="center"/>
    </xf>
    <xf numFmtId="43" fontId="8" fillId="3" borderId="24" xfId="1" applyFont="1" applyFill="1" applyBorder="1" applyAlignment="1">
      <alignment horizontal="center" vertical="center" wrapText="1"/>
    </xf>
    <xf numFmtId="0" fontId="24" fillId="0" borderId="66" xfId="0" applyFont="1" applyBorder="1" applyAlignment="1">
      <alignment horizontal="center" vertical="center"/>
    </xf>
    <xf numFmtId="2" fontId="13" fillId="0" borderId="37" xfId="1" applyNumberFormat="1" applyFont="1" applyFill="1" applyBorder="1" applyAlignment="1">
      <alignment vertical="center" wrapText="1"/>
    </xf>
    <xf numFmtId="164" fontId="13" fillId="4" borderId="20" xfId="1" applyNumberFormat="1" applyFont="1" applyFill="1" applyBorder="1" applyAlignment="1">
      <alignment horizontal="center" vertical="center" wrapText="1"/>
    </xf>
    <xf numFmtId="2" fontId="13" fillId="0" borderId="20" xfId="1" applyNumberFormat="1" applyFont="1" applyFill="1" applyBorder="1" applyAlignment="1">
      <alignment vertical="center" wrapText="1"/>
    </xf>
    <xf numFmtId="164" fontId="8" fillId="0" borderId="20" xfId="1" applyNumberFormat="1" applyFont="1" applyFill="1" applyBorder="1" applyAlignment="1">
      <alignment horizontal="center" vertical="center" wrapText="1"/>
    </xf>
    <xf numFmtId="164" fontId="19" fillId="0" borderId="20" xfId="1" applyNumberFormat="1" applyFont="1" applyFill="1" applyBorder="1" applyAlignment="1">
      <alignment horizontal="center" vertical="center" wrapText="1"/>
    </xf>
    <xf numFmtId="43" fontId="8" fillId="0" borderId="20" xfId="1" applyFont="1" applyFill="1" applyBorder="1" applyAlignment="1">
      <alignment horizontal="center" vertical="center" wrapText="1"/>
    </xf>
    <xf numFmtId="164" fontId="22" fillId="0" borderId="8" xfId="1" applyNumberFormat="1" applyFont="1" applyBorder="1" applyAlignment="1">
      <alignment horizontal="center" vertical="center" wrapText="1"/>
    </xf>
    <xf numFmtId="164" fontId="21" fillId="0" borderId="34" xfId="1" applyNumberFormat="1" applyFont="1" applyBorder="1" applyAlignment="1">
      <alignment horizontal="center" vertical="center" wrapText="1"/>
    </xf>
    <xf numFmtId="0" fontId="21" fillId="0" borderId="14" xfId="0" applyFont="1" applyBorder="1" applyAlignment="1">
      <alignment horizontal="center" vertical="center" wrapText="1"/>
    </xf>
    <xf numFmtId="0" fontId="7" fillId="2" borderId="20" xfId="0" applyFont="1" applyFill="1" applyBorder="1" applyAlignment="1">
      <alignment vertical="center"/>
    </xf>
    <xf numFmtId="43" fontId="21" fillId="0" borderId="40" xfId="1" applyFont="1" applyBorder="1" applyAlignment="1">
      <alignment horizontal="center" vertical="center"/>
    </xf>
    <xf numFmtId="43" fontId="21" fillId="0" borderId="15" xfId="1" applyFont="1" applyBorder="1" applyAlignment="1">
      <alignment horizontal="center" vertical="center"/>
    </xf>
    <xf numFmtId="164" fontId="21" fillId="0" borderId="40" xfId="1" applyNumberFormat="1" applyFont="1" applyBorder="1" applyAlignment="1">
      <alignment horizontal="center" vertical="center"/>
    </xf>
    <xf numFmtId="164" fontId="21" fillId="0" borderId="15" xfId="1" applyNumberFormat="1" applyFont="1" applyBorder="1" applyAlignment="1">
      <alignment horizontal="center" vertical="center"/>
    </xf>
    <xf numFmtId="164" fontId="22" fillId="0" borderId="10" xfId="1" applyNumberFormat="1" applyFont="1" applyBorder="1" applyAlignment="1">
      <alignment horizontal="center" vertical="center" wrapText="1"/>
    </xf>
    <xf numFmtId="164" fontId="13" fillId="0" borderId="39" xfId="1" applyNumberFormat="1" applyFont="1" applyBorder="1" applyAlignment="1">
      <alignment vertical="center"/>
    </xf>
    <xf numFmtId="43" fontId="13" fillId="0" borderId="39" xfId="1" applyFont="1" applyBorder="1" applyAlignment="1">
      <alignment vertical="center"/>
    </xf>
    <xf numFmtId="164" fontId="19" fillId="0" borderId="3" xfId="1" applyNumberFormat="1" applyFont="1" applyBorder="1" applyAlignment="1">
      <alignment horizontal="center" vertical="center" wrapText="1"/>
    </xf>
    <xf numFmtId="164" fontId="8" fillId="0" borderId="4" xfId="1" applyNumberFormat="1" applyFont="1" applyBorder="1" applyAlignment="1">
      <alignment vertical="center"/>
    </xf>
    <xf numFmtId="43" fontId="8" fillId="0" borderId="4" xfId="1" applyFont="1" applyBorder="1" applyAlignment="1">
      <alignment vertical="center"/>
    </xf>
    <xf numFmtId="0" fontId="8" fillId="0" borderId="3"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43" fontId="7" fillId="0" borderId="0" xfId="0" applyNumberFormat="1" applyFont="1" applyAlignment="1">
      <alignment vertical="center"/>
    </xf>
    <xf numFmtId="43" fontId="13" fillId="0" borderId="35" xfId="1" applyFont="1" applyBorder="1" applyAlignment="1">
      <alignment vertical="center"/>
    </xf>
    <xf numFmtId="0" fontId="7" fillId="5" borderId="14" xfId="0" applyFont="1" applyFill="1" applyBorder="1" applyAlignment="1">
      <alignment vertical="center"/>
    </xf>
    <xf numFmtId="0" fontId="8" fillId="0" borderId="7" xfId="0" applyFont="1" applyBorder="1" applyAlignment="1">
      <alignment horizontal="center" vertical="center" wrapText="1"/>
    </xf>
    <xf numFmtId="0" fontId="8" fillId="0" borderId="2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24" fillId="0" borderId="67" xfId="0" applyFont="1" applyFill="1" applyBorder="1" applyAlignment="1">
      <alignment vertical="center" wrapText="1"/>
    </xf>
    <xf numFmtId="0" fontId="8" fillId="0" borderId="29" xfId="0" applyFont="1" applyBorder="1" applyAlignment="1">
      <alignment horizontal="center" vertical="center" wrapText="1"/>
    </xf>
    <xf numFmtId="0" fontId="8" fillId="0" borderId="26" xfId="0" applyFont="1" applyBorder="1" applyAlignment="1">
      <alignment horizontal="left" vertical="center" wrapText="1"/>
    </xf>
    <xf numFmtId="0" fontId="8" fillId="0" borderId="26" xfId="0" applyFont="1" applyFill="1" applyBorder="1" applyAlignment="1">
      <alignment horizontal="center" vertical="center" wrapText="1"/>
    </xf>
    <xf numFmtId="0" fontId="7" fillId="0" borderId="8" xfId="0" applyFont="1" applyBorder="1" applyAlignment="1">
      <alignment horizontal="center" vertical="center"/>
    </xf>
    <xf numFmtId="0" fontId="8" fillId="0" borderId="7" xfId="0" applyFont="1" applyBorder="1" applyAlignment="1">
      <alignment horizontal="left" vertical="center" wrapText="1"/>
    </xf>
    <xf numFmtId="0" fontId="8" fillId="0" borderId="7" xfId="0" applyFont="1" applyFill="1" applyBorder="1" applyAlignment="1">
      <alignment horizontal="center" vertical="center" wrapText="1"/>
    </xf>
    <xf numFmtId="164" fontId="8" fillId="0" borderId="21" xfId="1" applyNumberFormat="1" applyFont="1" applyFill="1" applyBorder="1" applyAlignment="1">
      <alignment horizontal="center" vertical="center" wrapText="1"/>
    </xf>
    <xf numFmtId="164" fontId="21" fillId="0" borderId="22" xfId="1" applyNumberFormat="1" applyFont="1" applyBorder="1" applyAlignment="1">
      <alignment horizontal="center" vertical="center"/>
    </xf>
    <xf numFmtId="164" fontId="21" fillId="0" borderId="21" xfId="1" applyNumberFormat="1" applyFont="1" applyBorder="1" applyAlignment="1">
      <alignment horizontal="center" vertical="center"/>
    </xf>
    <xf numFmtId="0" fontId="7" fillId="0" borderId="23" xfId="0" applyFont="1" applyBorder="1" applyAlignment="1">
      <alignment vertical="center"/>
    </xf>
    <xf numFmtId="0" fontId="7" fillId="0" borderId="17" xfId="0" applyFont="1" applyFill="1" applyBorder="1" applyAlignment="1">
      <alignment vertical="center" wrapText="1"/>
    </xf>
    <xf numFmtId="0" fontId="8" fillId="2" borderId="17" xfId="0" applyFont="1" applyFill="1" applyBorder="1" applyAlignment="1">
      <alignment horizontal="left" vertical="center"/>
    </xf>
    <xf numFmtId="164" fontId="8" fillId="2" borderId="17" xfId="1" applyNumberFormat="1" applyFont="1" applyFill="1" applyBorder="1" applyAlignment="1">
      <alignment horizontal="center" vertical="center" wrapText="1"/>
    </xf>
    <xf numFmtId="43" fontId="8" fillId="2" borderId="17" xfId="1" applyFont="1" applyFill="1" applyBorder="1" applyAlignment="1">
      <alignment horizontal="center" vertical="center" wrapText="1"/>
    </xf>
    <xf numFmtId="0" fontId="20" fillId="0" borderId="17" xfId="0" applyFont="1" applyBorder="1" applyAlignment="1">
      <alignment horizontal="center" vertical="center"/>
    </xf>
    <xf numFmtId="43" fontId="8" fillId="0" borderId="17" xfId="1" applyNumberFormat="1" applyFont="1" applyFill="1" applyBorder="1" applyAlignment="1">
      <alignment horizontal="center" vertical="center" wrapText="1"/>
    </xf>
    <xf numFmtId="164" fontId="8" fillId="2" borderId="24" xfId="1"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164" fontId="8" fillId="0" borderId="0" xfId="1" applyNumberFormat="1" applyFont="1" applyFill="1" applyBorder="1" applyAlignment="1">
      <alignment horizontal="center" vertical="center" wrapText="1"/>
    </xf>
    <xf numFmtId="164" fontId="21" fillId="0" borderId="0" xfId="1" applyNumberFormat="1" applyFont="1" applyBorder="1" applyAlignment="1">
      <alignment horizontal="center" vertical="center"/>
    </xf>
    <xf numFmtId="164" fontId="8" fillId="2" borderId="0" xfId="1"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64" fontId="13" fillId="0" borderId="0" xfId="1" applyNumberFormat="1" applyFont="1" applyFill="1" applyBorder="1" applyAlignment="1">
      <alignment horizontal="center" vertical="center" wrapText="1"/>
    </xf>
    <xf numFmtId="164" fontId="8" fillId="3" borderId="0" xfId="1" applyNumberFormat="1" applyFont="1" applyFill="1" applyBorder="1" applyAlignment="1">
      <alignment horizontal="center" vertical="center" wrapText="1"/>
    </xf>
    <xf numFmtId="164" fontId="8" fillId="5" borderId="0" xfId="1" applyNumberFormat="1" applyFont="1" applyFill="1" applyBorder="1" applyAlignment="1">
      <alignment horizontal="center" vertical="center" wrapText="1"/>
    </xf>
    <xf numFmtId="0" fontId="7" fillId="0" borderId="0" xfId="0" applyFont="1" applyFill="1"/>
    <xf numFmtId="0" fontId="12" fillId="0" borderId="0" xfId="0" applyFont="1" applyFill="1" applyBorder="1" applyAlignment="1">
      <alignment horizontal="center" vertical="center" wrapText="1"/>
    </xf>
    <xf numFmtId="0" fontId="7" fillId="0" borderId="0" xfId="0" applyFont="1" applyFill="1" applyAlignment="1">
      <alignment horizontal="right" vertical="center"/>
    </xf>
    <xf numFmtId="43" fontId="13" fillId="0" borderId="20" xfId="1" applyFont="1" applyFill="1" applyBorder="1" applyAlignment="1">
      <alignment horizontal="center" vertical="center" wrapText="1"/>
    </xf>
    <xf numFmtId="165" fontId="26" fillId="2" borderId="14" xfId="0" applyNumberFormat="1" applyFont="1" applyFill="1" applyBorder="1" applyAlignment="1">
      <alignment horizontal="center" vertical="center" wrapText="1"/>
    </xf>
    <xf numFmtId="0" fontId="19" fillId="2" borderId="7" xfId="0" applyFont="1" applyFill="1" applyBorder="1" applyAlignment="1">
      <alignment horizontal="left" vertical="center"/>
    </xf>
    <xf numFmtId="164" fontId="13" fillId="0" borderId="7" xfId="1" applyNumberFormat="1" applyFont="1" applyFill="1" applyBorder="1" applyAlignment="1">
      <alignment horizontal="center" vertical="center" wrapText="1"/>
    </xf>
    <xf numFmtId="43" fontId="13" fillId="0" borderId="7" xfId="1" applyNumberFormat="1" applyFont="1" applyFill="1" applyBorder="1" applyAlignment="1">
      <alignment horizontal="center" vertical="center" wrapText="1"/>
    </xf>
    <xf numFmtId="43" fontId="13" fillId="0" borderId="7" xfId="1" applyFont="1" applyFill="1" applyBorder="1" applyAlignment="1">
      <alignment horizontal="center" vertical="center" wrapText="1"/>
    </xf>
    <xf numFmtId="165" fontId="21" fillId="2" borderId="7" xfId="0" applyNumberFormat="1" applyFont="1" applyFill="1" applyBorder="1" applyAlignment="1">
      <alignment horizontal="center" vertical="center" wrapText="1"/>
    </xf>
    <xf numFmtId="43" fontId="13" fillId="4" borderId="7" xfId="1" applyFont="1" applyFill="1" applyBorder="1" applyAlignment="1">
      <alignment horizontal="center" vertical="center" wrapText="1"/>
    </xf>
    <xf numFmtId="164" fontId="8" fillId="0" borderId="4" xfId="1" applyNumberFormat="1" applyFont="1" applyFill="1" applyBorder="1" applyAlignment="1">
      <alignment horizontal="center" vertical="center" wrapText="1"/>
    </xf>
    <xf numFmtId="43" fontId="8" fillId="0" borderId="0" xfId="1"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0" borderId="7" xfId="0" applyFont="1" applyBorder="1" applyAlignment="1">
      <alignment horizontal="center" vertical="center" wrapText="1"/>
    </xf>
    <xf numFmtId="0" fontId="10" fillId="0" borderId="0" xfId="0" applyFont="1" applyBorder="1" applyAlignment="1">
      <alignment horizontal="center" vertical="center"/>
    </xf>
    <xf numFmtId="0" fontId="7" fillId="0" borderId="14" xfId="0" applyFont="1" applyBorder="1" applyAlignment="1">
      <alignment horizontal="center" vertical="center"/>
    </xf>
    <xf numFmtId="0" fontId="19"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24" fillId="0" borderId="14" xfId="0" applyFont="1" applyBorder="1" applyAlignment="1">
      <alignment horizontal="center" vertical="center"/>
    </xf>
    <xf numFmtId="0" fontId="8" fillId="0" borderId="0" xfId="0" applyFont="1"/>
    <xf numFmtId="0" fontId="7" fillId="0" borderId="0" xfId="0" applyFont="1" applyAlignment="1">
      <alignment horizontal="center" vertical="center"/>
    </xf>
    <xf numFmtId="43" fontId="13" fillId="0" borderId="26" xfId="1" applyFont="1" applyFill="1" applyBorder="1" applyAlignment="1">
      <alignment horizontal="center" vertical="center" wrapText="1"/>
    </xf>
    <xf numFmtId="0" fontId="8" fillId="0" borderId="7" xfId="0" applyFont="1" applyBorder="1" applyAlignment="1">
      <alignment horizontal="center" vertical="center" wrapText="1"/>
    </xf>
    <xf numFmtId="164" fontId="13" fillId="0" borderId="41" xfId="1" applyNumberFormat="1" applyFont="1" applyFill="1" applyBorder="1" applyAlignment="1">
      <alignment horizontal="center" vertical="center" wrapText="1"/>
    </xf>
    <xf numFmtId="0" fontId="27" fillId="0" borderId="45" xfId="0" applyFont="1" applyFill="1" applyBorder="1" applyAlignment="1">
      <alignment horizontal="left" vertical="center"/>
    </xf>
    <xf numFmtId="0" fontId="27" fillId="0" borderId="29"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1" xfId="0" applyFont="1" applyFill="1" applyBorder="1" applyAlignment="1">
      <alignment horizontal="left" vertical="center"/>
    </xf>
    <xf numFmtId="43" fontId="22" fillId="0" borderId="14" xfId="0" applyNumberFormat="1" applyFont="1" applyBorder="1" applyAlignment="1">
      <alignment vertical="center"/>
    </xf>
    <xf numFmtId="165" fontId="28" fillId="0" borderId="14" xfId="0" applyNumberFormat="1" applyFont="1" applyFill="1" applyBorder="1" applyAlignment="1">
      <alignment horizontal="center" vertical="center" wrapText="1"/>
    </xf>
    <xf numFmtId="164" fontId="13" fillId="0" borderId="14" xfId="1" applyNumberFormat="1" applyFont="1" applyFill="1" applyBorder="1" applyAlignment="1">
      <alignment vertical="center" wrapText="1"/>
    </xf>
    <xf numFmtId="164" fontId="8" fillId="3" borderId="46" xfId="1" applyNumberFormat="1" applyFont="1" applyFill="1" applyBorder="1" applyAlignment="1">
      <alignment horizontal="center" vertical="center" wrapText="1"/>
    </xf>
    <xf numFmtId="0" fontId="8" fillId="0" borderId="0" xfId="0" applyFont="1" applyAlignment="1">
      <alignment vertical="center"/>
    </xf>
    <xf numFmtId="164" fontId="8" fillId="3" borderId="80" xfId="1" applyNumberFormat="1" applyFont="1" applyFill="1" applyBorder="1" applyAlignment="1">
      <alignment horizontal="center" vertical="center" wrapText="1"/>
    </xf>
    <xf numFmtId="165" fontId="28" fillId="0" borderId="7" xfId="0" applyNumberFormat="1" applyFont="1" applyFill="1" applyBorder="1" applyAlignment="1">
      <alignment horizontal="center" vertical="center" wrapText="1"/>
    </xf>
    <xf numFmtId="0" fontId="19" fillId="0" borderId="51" xfId="0" applyFont="1" applyFill="1" applyBorder="1" applyAlignment="1">
      <alignment horizontal="center" vertical="center" wrapText="1"/>
    </xf>
    <xf numFmtId="0" fontId="7" fillId="0" borderId="3" xfId="0" applyFont="1" applyBorder="1" applyAlignment="1">
      <alignment horizontal="center" vertical="center"/>
    </xf>
    <xf numFmtId="0" fontId="8" fillId="0" borderId="2" xfId="0" applyFont="1" applyBorder="1" applyAlignment="1">
      <alignment horizontal="left" vertical="center" wrapText="1"/>
    </xf>
    <xf numFmtId="0" fontId="8" fillId="3"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4" xfId="0" applyFont="1" applyBorder="1" applyAlignment="1">
      <alignment horizontal="center" vertical="center" wrapText="1"/>
    </xf>
    <xf numFmtId="165" fontId="28" fillId="0" borderId="20" xfId="0" applyNumberFormat="1" applyFont="1" applyFill="1" applyBorder="1" applyAlignment="1">
      <alignment horizontal="center" vertical="center" wrapText="1"/>
    </xf>
    <xf numFmtId="164" fontId="13" fillId="0" borderId="26" xfId="1" applyNumberFormat="1" applyFont="1" applyFill="1" applyBorder="1" applyAlignment="1">
      <alignment vertical="center" wrapText="1"/>
    </xf>
    <xf numFmtId="43" fontId="22" fillId="0" borderId="20" xfId="0" applyNumberFormat="1" applyFont="1" applyBorder="1" applyAlignment="1">
      <alignment vertical="center"/>
    </xf>
    <xf numFmtId="0" fontId="27" fillId="0" borderId="9" xfId="0" applyFont="1" applyFill="1" applyBorder="1" applyAlignment="1">
      <alignment horizontal="left" vertical="center"/>
    </xf>
    <xf numFmtId="164" fontId="8" fillId="0" borderId="44" xfId="1" applyNumberFormat="1" applyFont="1" applyFill="1" applyBorder="1" applyAlignment="1">
      <alignment horizontal="center" vertical="center" wrapText="1"/>
    </xf>
    <xf numFmtId="0" fontId="27" fillId="0" borderId="0" xfId="0" applyFont="1" applyFill="1" applyBorder="1" applyAlignment="1">
      <alignment horizontal="left" vertical="center"/>
    </xf>
    <xf numFmtId="0" fontId="21" fillId="0" borderId="0" xfId="0" applyFont="1" applyFill="1" applyBorder="1" applyAlignment="1">
      <alignment horizontal="center" vertical="center"/>
    </xf>
    <xf numFmtId="164" fontId="8" fillId="3" borderId="29" xfId="1" applyNumberFormat="1" applyFont="1" applyFill="1" applyBorder="1" applyAlignment="1">
      <alignment horizontal="center" vertical="center" wrapText="1"/>
    </xf>
    <xf numFmtId="164" fontId="8" fillId="3" borderId="35" xfId="1" applyNumberFormat="1" applyFont="1" applyFill="1" applyBorder="1" applyAlignment="1">
      <alignment horizontal="center" vertical="center" wrapText="1"/>
    </xf>
    <xf numFmtId="164" fontId="11" fillId="0" borderId="2" xfId="1" applyNumberFormat="1" applyFont="1" applyFill="1" applyBorder="1" applyAlignment="1">
      <alignment horizontal="center" vertical="center" wrapText="1"/>
    </xf>
    <xf numFmtId="43" fontId="11" fillId="0" borderId="2" xfId="1" applyFont="1" applyFill="1" applyBorder="1" applyAlignment="1">
      <alignment horizontal="center" vertical="center" wrapText="1"/>
    </xf>
    <xf numFmtId="0" fontId="12" fillId="0" borderId="44" xfId="0" applyFont="1" applyFill="1" applyBorder="1" applyAlignment="1">
      <alignment horizontal="left" vertical="center"/>
    </xf>
    <xf numFmtId="164" fontId="12" fillId="0" borderId="2" xfId="1" applyNumberFormat="1" applyFont="1" applyFill="1" applyBorder="1" applyAlignment="1">
      <alignment horizontal="center" vertical="center" wrapText="1"/>
    </xf>
    <xf numFmtId="43" fontId="12" fillId="0" borderId="2" xfId="1" applyFont="1" applyFill="1" applyBorder="1" applyAlignment="1">
      <alignment horizontal="center" vertical="center" wrapText="1"/>
    </xf>
    <xf numFmtId="0" fontId="11" fillId="0" borderId="44" xfId="0" applyFont="1" applyFill="1" applyBorder="1" applyAlignment="1">
      <alignment vertical="center"/>
    </xf>
    <xf numFmtId="164" fontId="9" fillId="0" borderId="11" xfId="1" applyNumberFormat="1" applyFont="1" applyBorder="1" applyAlignment="1">
      <alignment horizontal="center" vertical="center"/>
    </xf>
    <xf numFmtId="164" fontId="9" fillId="0" borderId="39" xfId="1" applyNumberFormat="1" applyFont="1" applyBorder="1" applyAlignment="1">
      <alignment vertical="center"/>
    </xf>
    <xf numFmtId="164" fontId="11" fillId="0" borderId="4" xfId="1" applyNumberFormat="1" applyFont="1" applyBorder="1" applyAlignment="1">
      <alignment vertical="center"/>
    </xf>
    <xf numFmtId="164" fontId="9" fillId="0" borderId="8" xfId="1" applyNumberFormat="1" applyFont="1" applyBorder="1" applyAlignment="1">
      <alignment horizontal="center" vertical="center" wrapText="1"/>
    </xf>
    <xf numFmtId="164" fontId="9" fillId="0" borderId="10" xfId="1" applyNumberFormat="1" applyFont="1" applyBorder="1" applyAlignment="1">
      <alignment horizontal="center" vertical="center" wrapText="1"/>
    </xf>
    <xf numFmtId="0" fontId="11" fillId="0" borderId="3" xfId="0" applyFont="1" applyBorder="1" applyAlignment="1">
      <alignment horizontal="center" vertical="center" wrapText="1"/>
    </xf>
    <xf numFmtId="0" fontId="12" fillId="0" borderId="30" xfId="0" applyFont="1" applyFill="1" applyBorder="1" applyAlignment="1">
      <alignment horizontal="left" vertical="center"/>
    </xf>
    <xf numFmtId="164" fontId="12" fillId="0" borderId="31" xfId="1" applyNumberFormat="1" applyFont="1" applyFill="1" applyBorder="1" applyAlignment="1">
      <alignment horizontal="center" vertical="center" wrapText="1"/>
    </xf>
    <xf numFmtId="43" fontId="12" fillId="0" borderId="31" xfId="1" applyFont="1" applyFill="1" applyBorder="1" applyAlignment="1">
      <alignment horizontal="center" vertical="center" wrapText="1"/>
    </xf>
    <xf numFmtId="164" fontId="13" fillId="0" borderId="20" xfId="1" applyNumberFormat="1" applyFont="1" applyFill="1" applyBorder="1" applyAlignment="1">
      <alignment vertical="center" wrapText="1"/>
    </xf>
    <xf numFmtId="43" fontId="13" fillId="2" borderId="20" xfId="1" applyFont="1" applyFill="1" applyBorder="1" applyAlignment="1">
      <alignment horizontal="center" vertical="center" wrapText="1"/>
    </xf>
    <xf numFmtId="164" fontId="13" fillId="0" borderId="22" xfId="1" applyNumberFormat="1" applyFont="1" applyFill="1" applyBorder="1" applyAlignment="1">
      <alignment horizontal="center" vertical="center" wrapText="1"/>
    </xf>
    <xf numFmtId="0" fontId="27" fillId="0" borderId="8" xfId="0" applyFont="1" applyFill="1" applyBorder="1" applyAlignment="1">
      <alignment horizontal="left" vertical="center"/>
    </xf>
    <xf numFmtId="0" fontId="8" fillId="0" borderId="14" xfId="0" applyFont="1" applyBorder="1" applyAlignment="1">
      <alignment vertical="center" wrapText="1"/>
    </xf>
    <xf numFmtId="0" fontId="7" fillId="0" borderId="61" xfId="0" applyFont="1" applyBorder="1"/>
    <xf numFmtId="0" fontId="11" fillId="0" borderId="42" xfId="0" applyFont="1" applyBorder="1" applyAlignment="1">
      <alignment vertical="center"/>
    </xf>
    <xf numFmtId="0" fontId="27" fillId="0" borderId="19" xfId="0" applyFont="1" applyFill="1" applyBorder="1" applyAlignment="1">
      <alignment horizontal="left" vertical="center"/>
    </xf>
    <xf numFmtId="165" fontId="28" fillId="0" borderId="26" xfId="0" applyNumberFormat="1" applyFont="1" applyFill="1" applyBorder="1" applyAlignment="1">
      <alignment horizontal="center" vertical="center" wrapText="1"/>
    </xf>
    <xf numFmtId="0" fontId="27" fillId="0" borderId="34" xfId="0" applyFont="1" applyFill="1" applyBorder="1" applyAlignment="1">
      <alignment horizontal="left" vertical="center"/>
    </xf>
    <xf numFmtId="0" fontId="12" fillId="0" borderId="3" xfId="0" applyFont="1" applyFill="1" applyBorder="1" applyAlignment="1">
      <alignment horizontal="left" vertical="center"/>
    </xf>
    <xf numFmtId="0" fontId="8" fillId="0" borderId="12" xfId="0" applyFont="1" applyBorder="1" applyAlignment="1">
      <alignment horizontal="center" vertical="center" wrapText="1"/>
    </xf>
    <xf numFmtId="0" fontId="10" fillId="0" borderId="0" xfId="0" applyFont="1" applyBorder="1" applyAlignment="1">
      <alignment horizontal="center" vertical="center"/>
    </xf>
    <xf numFmtId="0" fontId="11" fillId="2" borderId="8" xfId="0" applyFont="1" applyFill="1" applyBorder="1" applyAlignment="1">
      <alignment horizontal="left" vertical="center"/>
    </xf>
    <xf numFmtId="0" fontId="11" fillId="2" borderId="19" xfId="0" applyFont="1" applyFill="1" applyBorder="1" applyAlignment="1">
      <alignment horizontal="left" vertical="center"/>
    </xf>
    <xf numFmtId="0" fontId="11" fillId="0" borderId="29" xfId="0" applyFont="1" applyFill="1" applyBorder="1" applyAlignment="1">
      <alignment horizontal="left" vertical="center"/>
    </xf>
    <xf numFmtId="164" fontId="30" fillId="0" borderId="7" xfId="1" applyNumberFormat="1" applyFont="1" applyFill="1" applyBorder="1" applyAlignment="1">
      <alignment horizontal="center" vertical="center" wrapText="1"/>
    </xf>
    <xf numFmtId="164" fontId="30" fillId="0" borderId="20" xfId="1" applyNumberFormat="1" applyFont="1" applyFill="1" applyBorder="1" applyAlignment="1">
      <alignment horizontal="center" vertical="center" wrapText="1"/>
    </xf>
    <xf numFmtId="164" fontId="30" fillId="0" borderId="26" xfId="1" applyNumberFormat="1" applyFont="1" applyFill="1" applyBorder="1" applyAlignment="1">
      <alignment horizontal="center" vertical="center" wrapText="1"/>
    </xf>
    <xf numFmtId="164" fontId="10" fillId="0" borderId="2" xfId="1" applyNumberFormat="1" applyFont="1" applyFill="1" applyBorder="1" applyAlignment="1">
      <alignment horizontal="center" vertical="center" wrapText="1"/>
    </xf>
    <xf numFmtId="43" fontId="30" fillId="0" borderId="7" xfId="1" applyNumberFormat="1" applyFont="1" applyFill="1" applyBorder="1" applyAlignment="1">
      <alignment horizontal="center" vertical="center" wrapText="1"/>
    </xf>
    <xf numFmtId="43" fontId="30" fillId="2" borderId="7" xfId="1" applyFont="1" applyFill="1" applyBorder="1" applyAlignment="1">
      <alignment horizontal="center" vertical="center" wrapText="1"/>
    </xf>
    <xf numFmtId="43" fontId="30" fillId="0" borderId="7" xfId="1" applyFont="1" applyFill="1" applyBorder="1" applyAlignment="1">
      <alignment horizontal="center" vertical="center" wrapText="1"/>
    </xf>
    <xf numFmtId="43" fontId="30" fillId="0" borderId="20" xfId="1" applyNumberFormat="1" applyFont="1" applyFill="1" applyBorder="1" applyAlignment="1">
      <alignment horizontal="center" vertical="center" wrapText="1"/>
    </xf>
    <xf numFmtId="43" fontId="30" fillId="2" borderId="20" xfId="1" applyFont="1" applyFill="1" applyBorder="1" applyAlignment="1">
      <alignment horizontal="center" vertical="center" wrapText="1"/>
    </xf>
    <xf numFmtId="43" fontId="30" fillId="0" borderId="20" xfId="1" applyFont="1" applyFill="1" applyBorder="1" applyAlignment="1">
      <alignment horizontal="center" vertical="center" wrapText="1"/>
    </xf>
    <xf numFmtId="43" fontId="30" fillId="0" borderId="26" xfId="1" applyFont="1" applyFill="1" applyBorder="1" applyAlignment="1">
      <alignment horizontal="center" vertical="center" wrapText="1"/>
    </xf>
    <xf numFmtId="0" fontId="10" fillId="0" borderId="44" xfId="0" applyFont="1" applyFill="1" applyBorder="1" applyAlignment="1">
      <alignment horizontal="left" vertical="center"/>
    </xf>
    <xf numFmtId="43" fontId="10" fillId="0" borderId="2" xfId="1" applyFont="1" applyFill="1" applyBorder="1" applyAlignment="1">
      <alignment horizontal="center" vertical="center" wrapText="1"/>
    </xf>
    <xf numFmtId="165" fontId="31" fillId="0" borderId="7" xfId="0" applyNumberFormat="1" applyFont="1" applyFill="1" applyBorder="1" applyAlignment="1">
      <alignment horizontal="center" vertical="center" wrapText="1"/>
    </xf>
    <xf numFmtId="43" fontId="9" fillId="0" borderId="11" xfId="1" applyFont="1" applyFill="1" applyBorder="1" applyAlignment="1">
      <alignment horizontal="center" vertical="center" wrapText="1"/>
    </xf>
    <xf numFmtId="165" fontId="31" fillId="0" borderId="20" xfId="0" applyNumberFormat="1" applyFont="1" applyFill="1" applyBorder="1" applyAlignment="1">
      <alignment horizontal="center" vertical="center" wrapText="1"/>
    </xf>
    <xf numFmtId="43" fontId="9" fillId="0" borderId="22" xfId="1" applyFont="1" applyFill="1" applyBorder="1" applyAlignment="1">
      <alignment horizontal="center" vertical="center" wrapText="1"/>
    </xf>
    <xf numFmtId="165" fontId="31" fillId="0" borderId="14" xfId="0" applyNumberFormat="1" applyFont="1" applyFill="1" applyBorder="1" applyAlignment="1">
      <alignment horizontal="center" vertical="center" wrapText="1"/>
    </xf>
    <xf numFmtId="43" fontId="11" fillId="0" borderId="4" xfId="1" applyFont="1" applyFill="1" applyBorder="1" applyAlignment="1">
      <alignment horizontal="center" vertical="center" wrapText="1"/>
    </xf>
    <xf numFmtId="43" fontId="8" fillId="0" borderId="14" xfId="1" applyFont="1" applyBorder="1" applyAlignment="1">
      <alignment vertical="center"/>
    </xf>
    <xf numFmtId="0" fontId="7" fillId="0" borderId="0" xfId="0" applyFont="1" applyFill="1" applyAlignment="1">
      <alignment vertical="center"/>
    </xf>
    <xf numFmtId="164" fontId="30" fillId="0" borderId="7" xfId="1" applyNumberFormat="1" applyFont="1" applyFill="1" applyBorder="1" applyAlignment="1">
      <alignment vertical="center" wrapText="1"/>
    </xf>
    <xf numFmtId="164" fontId="30" fillId="0" borderId="20" xfId="1" applyNumberFormat="1" applyFont="1" applyFill="1" applyBorder="1" applyAlignment="1">
      <alignment vertical="center" wrapText="1"/>
    </xf>
    <xf numFmtId="164" fontId="30" fillId="0" borderId="26" xfId="1" applyNumberFormat="1" applyFont="1" applyFill="1" applyBorder="1" applyAlignment="1">
      <alignment vertical="center" wrapText="1"/>
    </xf>
    <xf numFmtId="164" fontId="11" fillId="0" borderId="4" xfId="1" applyNumberFormat="1" applyFont="1" applyFill="1" applyBorder="1" applyAlignment="1">
      <alignment vertical="center" wrapText="1"/>
    </xf>
    <xf numFmtId="0" fontId="10" fillId="0" borderId="0" xfId="0" applyFont="1" applyBorder="1" applyAlignment="1">
      <alignment horizontal="center" vertical="center"/>
    </xf>
    <xf numFmtId="164" fontId="9" fillId="0" borderId="26" xfId="1" applyNumberFormat="1" applyFont="1" applyFill="1" applyBorder="1" applyAlignment="1">
      <alignment horizontal="center" vertical="center" wrapText="1"/>
    </xf>
    <xf numFmtId="164" fontId="9" fillId="0" borderId="20" xfId="1" applyNumberFormat="1" applyFont="1" applyFill="1" applyBorder="1" applyAlignment="1">
      <alignment horizontal="center" vertical="center" wrapText="1"/>
    </xf>
    <xf numFmtId="165" fontId="31" fillId="0" borderId="20" xfId="0" applyNumberFormat="1" applyFont="1" applyFill="1" applyBorder="1" applyAlignment="1">
      <alignment horizontal="center" vertical="center" wrapText="1"/>
    </xf>
    <xf numFmtId="0" fontId="19" fillId="0" borderId="3" xfId="0" applyFont="1" applyBorder="1" applyAlignment="1">
      <alignment horizontal="center" vertical="center"/>
    </xf>
    <xf numFmtId="164" fontId="9" fillId="0" borderId="26" xfId="1" applyNumberFormat="1" applyFont="1" applyFill="1" applyBorder="1" applyAlignment="1">
      <alignment horizontal="center" vertical="center" wrapText="1"/>
    </xf>
    <xf numFmtId="164" fontId="9" fillId="0" borderId="20" xfId="1" applyNumberFormat="1" applyFont="1" applyFill="1" applyBorder="1" applyAlignment="1">
      <alignment horizontal="center" vertical="center" wrapText="1"/>
    </xf>
    <xf numFmtId="165" fontId="31" fillId="0" borderId="20" xfId="0" applyNumberFormat="1" applyFont="1" applyFill="1" applyBorder="1" applyAlignment="1">
      <alignment horizontal="center" vertical="center" wrapText="1"/>
    </xf>
    <xf numFmtId="43" fontId="30" fillId="0" borderId="20" xfId="1" applyFont="1" applyFill="1" applyBorder="1" applyAlignment="1">
      <alignment horizontal="center" vertical="center" wrapText="1"/>
    </xf>
    <xf numFmtId="43" fontId="30" fillId="0" borderId="26" xfId="1" applyFont="1" applyFill="1" applyBorder="1" applyAlignment="1">
      <alignment horizontal="center" vertical="center" wrapText="1"/>
    </xf>
    <xf numFmtId="43" fontId="30" fillId="0" borderId="20" xfId="1" applyNumberFormat="1" applyFont="1" applyFill="1" applyBorder="1" applyAlignment="1">
      <alignment horizontal="center" vertical="center" wrapText="1"/>
    </xf>
    <xf numFmtId="164" fontId="30" fillId="0" borderId="20" xfId="1" applyNumberFormat="1" applyFont="1" applyFill="1" applyBorder="1" applyAlignment="1">
      <alignment horizontal="center" vertical="center" wrapText="1"/>
    </xf>
    <xf numFmtId="164" fontId="30" fillId="0" borderId="26" xfId="1" applyNumberFormat="1" applyFont="1" applyFill="1" applyBorder="1" applyAlignment="1">
      <alignment horizontal="center" vertical="center" wrapText="1"/>
    </xf>
    <xf numFmtId="43" fontId="9" fillId="0" borderId="22" xfId="1" applyFont="1" applyFill="1" applyBorder="1" applyAlignment="1">
      <alignment horizontal="center" vertical="center" wrapText="1"/>
    </xf>
    <xf numFmtId="0" fontId="11" fillId="0" borderId="8" xfId="0" applyFont="1" applyFill="1" applyBorder="1" applyAlignment="1">
      <alignment vertical="center"/>
    </xf>
    <xf numFmtId="0" fontId="11" fillId="0" borderId="19" xfId="0" applyFont="1" applyFill="1" applyBorder="1" applyAlignment="1">
      <alignment vertical="center"/>
    </xf>
    <xf numFmtId="0" fontId="11" fillId="0" borderId="29" xfId="0" applyFont="1" applyFill="1" applyBorder="1" applyAlignment="1">
      <alignment vertical="center"/>
    </xf>
    <xf numFmtId="43" fontId="13" fillId="2" borderId="20" xfId="1" applyFont="1" applyFill="1" applyBorder="1" applyAlignment="1">
      <alignment vertical="center" wrapText="1"/>
    </xf>
    <xf numFmtId="43" fontId="11" fillId="0" borderId="4" xfId="1" applyFont="1" applyFill="1" applyBorder="1" applyAlignment="1">
      <alignment vertical="center" wrapText="1"/>
    </xf>
    <xf numFmtId="164" fontId="30" fillId="0" borderId="14" xfId="1" applyNumberFormat="1" applyFont="1" applyFill="1" applyBorder="1" applyAlignment="1">
      <alignment vertical="center" wrapText="1"/>
    </xf>
    <xf numFmtId="43" fontId="30" fillId="0" borderId="14" xfId="1" applyNumberFormat="1" applyFont="1" applyFill="1" applyBorder="1" applyAlignment="1">
      <alignment vertical="center" wrapText="1"/>
    </xf>
    <xf numFmtId="43" fontId="30" fillId="0" borderId="14" xfId="1" applyFont="1" applyFill="1" applyBorder="1" applyAlignment="1">
      <alignment vertical="center" wrapText="1"/>
    </xf>
    <xf numFmtId="43" fontId="13" fillId="2" borderId="14" xfId="1" applyFont="1" applyFill="1" applyBorder="1" applyAlignment="1">
      <alignment vertical="center" wrapText="1"/>
    </xf>
    <xf numFmtId="43" fontId="9" fillId="0" borderId="21" xfId="1" applyFont="1" applyFill="1" applyBorder="1" applyAlignment="1">
      <alignment vertical="center" wrapText="1"/>
    </xf>
    <xf numFmtId="164" fontId="11" fillId="0" borderId="20" xfId="1" applyNumberFormat="1" applyFont="1" applyFill="1" applyBorder="1" applyAlignment="1">
      <alignment horizontal="right" vertical="center" wrapText="1"/>
    </xf>
    <xf numFmtId="164" fontId="10" fillId="0" borderId="20" xfId="1" applyNumberFormat="1" applyFont="1" applyFill="1" applyBorder="1" applyAlignment="1">
      <alignment vertical="center" wrapText="1"/>
    </xf>
    <xf numFmtId="43" fontId="10" fillId="0" borderId="20" xfId="1" applyFont="1" applyFill="1" applyBorder="1" applyAlignment="1">
      <alignment vertical="center" wrapText="1"/>
    </xf>
    <xf numFmtId="43" fontId="10" fillId="0" borderId="20" xfId="1" applyFont="1" applyFill="1" applyBorder="1" applyAlignment="1">
      <alignment horizontal="center" vertical="center" wrapText="1"/>
    </xf>
    <xf numFmtId="0" fontId="10" fillId="0" borderId="0" xfId="0" applyFont="1" applyBorder="1" applyAlignment="1">
      <alignment horizontal="left" vertical="top"/>
    </xf>
    <xf numFmtId="0" fontId="27" fillId="0" borderId="5" xfId="0" applyFont="1" applyFill="1" applyBorder="1" applyAlignment="1">
      <alignment horizontal="left" vertical="center"/>
    </xf>
    <xf numFmtId="164" fontId="8" fillId="0" borderId="5" xfId="1" applyNumberFormat="1" applyFont="1" applyFill="1" applyBorder="1" applyAlignment="1">
      <alignment horizontal="center" vertical="center" wrapText="1"/>
    </xf>
    <xf numFmtId="43" fontId="8" fillId="0" borderId="5" xfId="1" applyFont="1" applyFill="1" applyBorder="1" applyAlignment="1">
      <alignment horizontal="center" vertical="center" wrapText="1"/>
    </xf>
    <xf numFmtId="0" fontId="21" fillId="0" borderId="5" xfId="0" applyFont="1" applyFill="1" applyBorder="1" applyAlignment="1">
      <alignment horizontal="center" vertical="center"/>
    </xf>
    <xf numFmtId="0" fontId="10" fillId="0" borderId="0" xfId="0" applyFont="1" applyBorder="1" applyAlignment="1">
      <alignment horizontal="left" vertical="top" wrapText="1"/>
    </xf>
    <xf numFmtId="0" fontId="8" fillId="0" borderId="0" xfId="0" applyFont="1" applyBorder="1" applyAlignment="1">
      <alignment horizontal="center" vertical="center"/>
    </xf>
    <xf numFmtId="164" fontId="13" fillId="0" borderId="20" xfId="1" applyNumberFormat="1" applyFont="1" applyFill="1" applyBorder="1" applyAlignment="1">
      <alignment horizontal="center" vertical="center" wrapText="1"/>
    </xf>
    <xf numFmtId="0" fontId="8" fillId="0" borderId="42" xfId="0" applyFont="1" applyBorder="1" applyAlignment="1">
      <alignment horizontal="right" vertical="center"/>
    </xf>
    <xf numFmtId="165" fontId="9" fillId="0" borderId="12" xfId="0" applyNumberFormat="1" applyFont="1" applyFill="1" applyBorder="1" applyAlignment="1">
      <alignment horizontal="center" vertical="center" wrapText="1"/>
    </xf>
    <xf numFmtId="165" fontId="9" fillId="0" borderId="26" xfId="0" applyNumberFormat="1" applyFont="1" applyFill="1" applyBorder="1" applyAlignment="1">
      <alignment horizontal="center" vertical="center" wrapText="1"/>
    </xf>
    <xf numFmtId="165" fontId="9" fillId="0" borderId="31" xfId="0" applyNumberFormat="1" applyFont="1" applyFill="1" applyBorder="1" applyAlignment="1">
      <alignment horizontal="center" vertical="center" wrapText="1"/>
    </xf>
    <xf numFmtId="0" fontId="11" fillId="0" borderId="58" xfId="0" applyFont="1" applyBorder="1" applyAlignment="1">
      <alignment horizontal="center" vertical="center"/>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7" fillId="0" borderId="46" xfId="0" applyFont="1" applyFill="1" applyBorder="1" applyAlignment="1">
      <alignment horizontal="left" vertical="top" wrapText="1"/>
    </xf>
    <xf numFmtId="0" fontId="17" fillId="0" borderId="35" xfId="0" applyFont="1" applyFill="1" applyBorder="1" applyAlignment="1">
      <alignment horizontal="left" vertical="top" wrapText="1"/>
    </xf>
    <xf numFmtId="0" fontId="17" fillId="0" borderId="22" xfId="0" applyFont="1" applyFill="1" applyBorder="1" applyAlignment="1">
      <alignment horizontal="left" vertical="top" wrapText="1"/>
    </xf>
    <xf numFmtId="0" fontId="0" fillId="0" borderId="26" xfId="0" applyBorder="1"/>
    <xf numFmtId="165" fontId="17" fillId="0" borderId="12" xfId="0" applyNumberFormat="1" applyFont="1" applyFill="1" applyBorder="1" applyAlignment="1">
      <alignment horizontal="center" vertical="center" wrapText="1"/>
    </xf>
    <xf numFmtId="165" fontId="17" fillId="0" borderId="26" xfId="0" applyNumberFormat="1" applyFont="1" applyFill="1" applyBorder="1" applyAlignment="1">
      <alignment horizontal="center" vertical="center" wrapText="1"/>
    </xf>
    <xf numFmtId="165" fontId="17" fillId="0" borderId="20" xfId="0" applyNumberFormat="1" applyFont="1" applyFill="1" applyBorder="1" applyAlignment="1">
      <alignment horizontal="center" vertical="center" wrapText="1"/>
    </xf>
    <xf numFmtId="0" fontId="10" fillId="0" borderId="59"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9"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1" fillId="0" borderId="57" xfId="0" applyFont="1" applyBorder="1" applyAlignment="1">
      <alignment horizontal="center" vertical="center"/>
    </xf>
    <xf numFmtId="0" fontId="11" fillId="0" borderId="55" xfId="0" applyFont="1" applyBorder="1" applyAlignment="1">
      <alignment horizontal="center" vertical="center"/>
    </xf>
    <xf numFmtId="0" fontId="10" fillId="2" borderId="42" xfId="0" applyFont="1" applyFill="1" applyBorder="1" applyAlignment="1">
      <alignment horizontal="left" vertical="top"/>
    </xf>
    <xf numFmtId="0" fontId="12" fillId="0" borderId="12"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1" xfId="0" applyFont="1" applyBorder="1" applyAlignment="1">
      <alignment horizontal="center" vertical="center" wrapText="1"/>
    </xf>
    <xf numFmtId="0" fontId="10" fillId="0" borderId="0" xfId="0" applyFont="1" applyBorder="1" applyAlignment="1">
      <alignment horizontal="center" vertical="center"/>
    </xf>
    <xf numFmtId="0" fontId="10" fillId="2" borderId="53"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31" xfId="0" applyFont="1" applyFill="1" applyBorder="1" applyAlignment="1">
      <alignment horizontal="center" vertical="center"/>
    </xf>
    <xf numFmtId="0" fontId="2" fillId="3" borderId="55" xfId="0" applyFont="1" applyFill="1" applyBorder="1" applyAlignment="1">
      <alignment horizontal="left" vertical="center" wrapText="1"/>
    </xf>
    <xf numFmtId="0" fontId="2" fillId="3" borderId="56"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11" fillId="0" borderId="23" xfId="0" applyFont="1" applyFill="1" applyBorder="1" applyAlignment="1">
      <alignment horizontal="center" vertical="center" wrapText="1"/>
    </xf>
    <xf numFmtId="165" fontId="13" fillId="0" borderId="12" xfId="0" applyNumberFormat="1" applyFont="1" applyFill="1" applyBorder="1" applyAlignment="1">
      <alignment horizontal="center" vertical="center" wrapText="1"/>
    </xf>
    <xf numFmtId="165" fontId="13" fillId="0" borderId="31" xfId="0" applyNumberFormat="1" applyFont="1" applyFill="1" applyBorder="1" applyAlignment="1">
      <alignment horizontal="center" vertical="center" wrapText="1"/>
    </xf>
    <xf numFmtId="0" fontId="11" fillId="0" borderId="32" xfId="0" applyFont="1" applyBorder="1" applyAlignment="1">
      <alignment horizontal="center" vertical="center"/>
    </xf>
    <xf numFmtId="0" fontId="8" fillId="3" borderId="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31" xfId="0" applyFont="1" applyBorder="1" applyAlignment="1">
      <alignment horizontal="center" vertical="center" wrapText="1"/>
    </xf>
    <xf numFmtId="0" fontId="16"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11" fillId="0" borderId="13"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16" xfId="0" applyFont="1" applyBorder="1" applyAlignment="1">
      <alignment horizontal="center" vertical="center" wrapText="1"/>
    </xf>
    <xf numFmtId="0" fontId="8" fillId="2" borderId="26"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1" xfId="0" applyFont="1" applyBorder="1" applyAlignment="1">
      <alignment horizontal="center" vertical="center" wrapText="1"/>
    </xf>
    <xf numFmtId="0" fontId="8" fillId="0" borderId="0" xfId="0" applyFont="1" applyBorder="1" applyAlignment="1">
      <alignment horizontal="center"/>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18"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26" xfId="0" applyFont="1" applyFill="1" applyBorder="1" applyAlignment="1">
      <alignment horizontal="center" vertical="center" wrapText="1"/>
    </xf>
    <xf numFmtId="0" fontId="24" fillId="0" borderId="73"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69" xfId="0" applyFont="1" applyBorder="1" applyAlignment="1">
      <alignment horizontal="center" vertical="center"/>
    </xf>
    <xf numFmtId="0" fontId="24" fillId="0" borderId="65" xfId="0" applyFont="1" applyBorder="1" applyAlignment="1">
      <alignment horizontal="center" vertical="center"/>
    </xf>
    <xf numFmtId="0" fontId="3" fillId="3" borderId="15" xfId="0" applyFont="1" applyFill="1" applyBorder="1" applyAlignment="1">
      <alignment horizontal="left" vertical="center" wrapText="1"/>
    </xf>
    <xf numFmtId="0" fontId="3" fillId="3" borderId="61" xfId="0" applyFont="1" applyFill="1" applyBorder="1" applyAlignment="1">
      <alignment horizontal="left" vertical="center" wrapText="1"/>
    </xf>
    <xf numFmtId="0" fontId="3" fillId="3" borderId="45" xfId="0" applyFont="1" applyFill="1" applyBorder="1" applyAlignment="1">
      <alignment horizontal="left" vertical="center" wrapText="1"/>
    </xf>
    <xf numFmtId="0" fontId="7" fillId="0" borderId="37" xfId="0" applyFont="1" applyBorder="1" applyAlignment="1">
      <alignment horizontal="center" vertical="center"/>
    </xf>
    <xf numFmtId="0" fontId="7" fillId="0" borderId="20" xfId="0" applyFont="1" applyBorder="1" applyAlignment="1">
      <alignment horizontal="center" vertical="center"/>
    </xf>
    <xf numFmtId="0" fontId="24" fillId="0" borderId="70" xfId="0" applyFont="1" applyBorder="1" applyAlignment="1">
      <alignment horizontal="center" vertical="center"/>
    </xf>
    <xf numFmtId="0" fontId="4" fillId="0" borderId="70" xfId="0" applyFont="1" applyBorder="1"/>
    <xf numFmtId="0" fontId="24" fillId="0" borderId="74" xfId="0" applyFont="1" applyBorder="1" applyAlignment="1">
      <alignment horizontal="center" vertical="center" wrapText="1"/>
    </xf>
    <xf numFmtId="0" fontId="24" fillId="0" borderId="75" xfId="0" applyFont="1" applyBorder="1" applyAlignment="1">
      <alignment horizontal="center" vertical="center" wrapText="1"/>
    </xf>
    <xf numFmtId="0" fontId="4" fillId="0" borderId="76" xfId="0" applyFont="1" applyBorder="1"/>
    <xf numFmtId="0" fontId="7" fillId="0" borderId="37" xfId="0" applyFont="1" applyFill="1" applyBorder="1" applyAlignment="1">
      <alignment horizontal="center" vertical="center" wrapText="1"/>
    </xf>
    <xf numFmtId="0" fontId="24" fillId="0" borderId="71" xfId="0" applyFont="1" applyBorder="1" applyAlignment="1">
      <alignment horizontal="center" vertical="center" wrapText="1"/>
    </xf>
    <xf numFmtId="0" fontId="24" fillId="0" borderId="72" xfId="0" applyFont="1" applyBorder="1" applyAlignment="1">
      <alignment horizontal="center" vertical="center"/>
    </xf>
    <xf numFmtId="0" fontId="12" fillId="0" borderId="0" xfId="0" applyFont="1" applyBorder="1" applyAlignment="1">
      <alignment horizontal="center" vertical="center" wrapText="1"/>
    </xf>
    <xf numFmtId="0" fontId="19" fillId="0" borderId="0" xfId="0" applyFont="1" applyBorder="1" applyAlignment="1">
      <alignment horizontal="left" vertical="center"/>
    </xf>
    <xf numFmtId="0" fontId="11" fillId="3" borderId="60" xfId="0" applyFont="1" applyFill="1" applyBorder="1" applyAlignment="1">
      <alignment horizontal="left" vertical="center"/>
    </xf>
    <xf numFmtId="0" fontId="11" fillId="3" borderId="36" xfId="0" applyFont="1" applyFill="1" applyBorder="1" applyAlignment="1">
      <alignment horizontal="left" vertical="center"/>
    </xf>
    <xf numFmtId="0" fontId="7" fillId="3" borderId="62" xfId="0" applyFont="1" applyFill="1" applyBorder="1" applyAlignment="1">
      <alignment horizontal="left" vertical="center"/>
    </xf>
    <xf numFmtId="0" fontId="7" fillId="3" borderId="36" xfId="0" applyFont="1" applyFill="1" applyBorder="1" applyAlignment="1">
      <alignment horizontal="left" vertical="center"/>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11" fillId="0" borderId="0" xfId="0" applyFont="1" applyBorder="1" applyAlignment="1">
      <alignment horizontal="center" vertical="center" wrapText="1"/>
    </xf>
    <xf numFmtId="0" fontId="8" fillId="0" borderId="42" xfId="0" applyFont="1" applyBorder="1" applyAlignment="1">
      <alignment horizontal="left" vertical="center"/>
    </xf>
    <xf numFmtId="0" fontId="24" fillId="0" borderId="77" xfId="0" applyFont="1" applyBorder="1" applyAlignment="1">
      <alignment horizontal="center" vertical="center" wrapText="1"/>
    </xf>
    <xf numFmtId="0" fontId="24" fillId="0" borderId="78" xfId="0" applyFont="1" applyBorder="1" applyAlignment="1">
      <alignment horizontal="center" vertical="center" wrapText="1"/>
    </xf>
    <xf numFmtId="0" fontId="4" fillId="0" borderId="79" xfId="0" applyFont="1" applyBorder="1"/>
    <xf numFmtId="0" fontId="8" fillId="0" borderId="0" xfId="0" applyFont="1" applyBorder="1" applyAlignment="1">
      <alignment horizontal="left" vertical="center"/>
    </xf>
    <xf numFmtId="0" fontId="29" fillId="0" borderId="0" xfId="0" applyFont="1" applyAlignment="1">
      <alignment horizontal="center"/>
    </xf>
    <xf numFmtId="0" fontId="8" fillId="0" borderId="47" xfId="0" applyFont="1" applyFill="1" applyBorder="1" applyAlignment="1">
      <alignment horizontal="center" vertical="center" wrapText="1"/>
    </xf>
    <xf numFmtId="0" fontId="11" fillId="0" borderId="82" xfId="0" applyFont="1" applyFill="1" applyBorder="1" applyAlignment="1">
      <alignment horizontal="left" vertical="center"/>
    </xf>
    <xf numFmtId="0" fontId="11" fillId="0" borderId="5" xfId="0" applyFont="1" applyFill="1" applyBorder="1" applyAlignment="1">
      <alignment horizontal="left" vertical="center"/>
    </xf>
    <xf numFmtId="0" fontId="7" fillId="0" borderId="83"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85" xfId="0" applyFont="1" applyFill="1" applyBorder="1" applyAlignment="1">
      <alignment horizontal="center" vertical="center"/>
    </xf>
    <xf numFmtId="0" fontId="7" fillId="0" borderId="84" xfId="0" applyFont="1" applyFill="1" applyBorder="1" applyAlignment="1">
      <alignment horizontal="center" vertical="center"/>
    </xf>
    <xf numFmtId="0" fontId="8" fillId="0" borderId="83"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85" xfId="0" applyFont="1" applyFill="1" applyBorder="1" applyAlignment="1">
      <alignment horizontal="center" vertical="center" wrapText="1"/>
    </xf>
    <xf numFmtId="0" fontId="8" fillId="0" borderId="84" xfId="0" applyFont="1" applyFill="1" applyBorder="1" applyAlignment="1">
      <alignment horizontal="center" vertical="center" wrapText="1"/>
    </xf>
    <xf numFmtId="0" fontId="24" fillId="0" borderId="83" xfId="0" applyFont="1" applyFill="1" applyBorder="1" applyAlignment="1">
      <alignment horizontal="center" vertical="center"/>
    </xf>
    <xf numFmtId="0" fontId="24" fillId="0" borderId="58" xfId="0" applyFont="1" applyFill="1" applyBorder="1" applyAlignment="1">
      <alignment horizontal="center" vertical="center"/>
    </xf>
    <xf numFmtId="0" fontId="24" fillId="0" borderId="85" xfId="0" applyFont="1" applyFill="1" applyBorder="1" applyAlignment="1">
      <alignment horizontal="center" vertical="center"/>
    </xf>
    <xf numFmtId="0" fontId="24" fillId="0" borderId="84" xfId="0" applyFont="1" applyFill="1" applyBorder="1" applyAlignment="1">
      <alignment horizontal="center" vertical="center"/>
    </xf>
    <xf numFmtId="0" fontId="25" fillId="0" borderId="83" xfId="0" applyFont="1" applyFill="1" applyBorder="1" applyAlignment="1">
      <alignment horizontal="center" vertical="center" wrapText="1"/>
    </xf>
    <xf numFmtId="0" fontId="25" fillId="0" borderId="58" xfId="0" applyFont="1" applyFill="1" applyBorder="1" applyAlignment="1">
      <alignment horizontal="center" vertical="center" wrapText="1"/>
    </xf>
    <xf numFmtId="0" fontId="25" fillId="0" borderId="85" xfId="0" applyFont="1" applyFill="1" applyBorder="1" applyAlignment="1">
      <alignment horizontal="center" vertical="center" wrapText="1"/>
    </xf>
    <xf numFmtId="0" fontId="25" fillId="0" borderId="84" xfId="0" applyFont="1" applyFill="1" applyBorder="1" applyAlignment="1">
      <alignment horizontal="center" vertical="center" wrapText="1"/>
    </xf>
    <xf numFmtId="0" fontId="7" fillId="0" borderId="47"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49" xfId="0" applyFont="1" applyFill="1" applyBorder="1" applyAlignment="1">
      <alignment horizontal="center" vertical="center"/>
    </xf>
    <xf numFmtId="0" fontId="8" fillId="0" borderId="42" xfId="0" applyFont="1" applyBorder="1" applyAlignment="1">
      <alignment horizontal="right" vertical="center"/>
    </xf>
    <xf numFmtId="0" fontId="24" fillId="0" borderId="48" xfId="0" applyFont="1" applyFill="1" applyBorder="1" applyAlignment="1">
      <alignment horizontal="center" vertical="center"/>
    </xf>
    <xf numFmtId="0" fontId="25" fillId="0" borderId="48" xfId="0" applyFont="1" applyFill="1" applyBorder="1" applyAlignment="1">
      <alignment horizontal="center" vertical="center" wrapText="1"/>
    </xf>
    <xf numFmtId="0" fontId="10" fillId="0" borderId="0" xfId="0" applyFont="1" applyBorder="1" applyAlignment="1">
      <alignment horizontal="left" vertical="top" wrapText="1"/>
    </xf>
    <xf numFmtId="0" fontId="10" fillId="0" borderId="81" xfId="0" applyFont="1" applyBorder="1" applyAlignment="1">
      <alignment horizontal="left" vertical="top"/>
    </xf>
    <xf numFmtId="0" fontId="11" fillId="0" borderId="82" xfId="0" applyFont="1" applyFill="1" applyBorder="1" applyAlignment="1">
      <alignment horizontal="center" vertical="center"/>
    </xf>
    <xf numFmtId="0" fontId="11" fillId="0" borderId="86" xfId="0" applyFont="1" applyFill="1" applyBorder="1" applyAlignment="1">
      <alignment horizontal="center" vertical="center"/>
    </xf>
    <xf numFmtId="0" fontId="8" fillId="0" borderId="0" xfId="0" applyFont="1" applyAlignment="1">
      <alignment horizontal="left" wrapText="1"/>
    </xf>
    <xf numFmtId="0" fontId="8" fillId="0" borderId="14" xfId="0" applyFont="1" applyBorder="1" applyAlignment="1">
      <alignment horizontal="center" vertical="center"/>
    </xf>
    <xf numFmtId="0" fontId="11" fillId="0" borderId="0" xfId="0" applyFont="1" applyFill="1" applyBorder="1" applyAlignment="1">
      <alignment horizontal="left" vertical="center"/>
    </xf>
    <xf numFmtId="0" fontId="11" fillId="0" borderId="10" xfId="0" applyFont="1" applyFill="1" applyBorder="1" applyAlignment="1">
      <alignment vertical="center"/>
    </xf>
    <xf numFmtId="0" fontId="11" fillId="0" borderId="34" xfId="0" applyFont="1" applyFill="1" applyBorder="1" applyAlignment="1">
      <alignment vertical="center"/>
    </xf>
    <xf numFmtId="0" fontId="11" fillId="0" borderId="19" xfId="0" applyFont="1" applyFill="1" applyBorder="1" applyAlignment="1">
      <alignment vertical="center"/>
    </xf>
    <xf numFmtId="164" fontId="9" fillId="0" borderId="37" xfId="1" applyNumberFormat="1" applyFont="1" applyFill="1" applyBorder="1" applyAlignment="1">
      <alignment horizontal="center" vertical="center" wrapText="1"/>
    </xf>
    <xf numFmtId="164" fontId="9" fillId="0" borderId="26" xfId="1" applyNumberFormat="1" applyFont="1" applyFill="1" applyBorder="1" applyAlignment="1">
      <alignment horizontal="center" vertical="center" wrapText="1"/>
    </xf>
    <xf numFmtId="164" fontId="9" fillId="0" borderId="20" xfId="1" applyNumberFormat="1" applyFont="1" applyFill="1" applyBorder="1" applyAlignment="1">
      <alignment horizontal="center" vertical="center" wrapText="1"/>
    </xf>
    <xf numFmtId="165" fontId="31" fillId="0" borderId="14" xfId="0" applyNumberFormat="1" applyFont="1" applyFill="1" applyBorder="1" applyAlignment="1">
      <alignment horizontal="center" vertical="center" wrapText="1"/>
    </xf>
    <xf numFmtId="0" fontId="29" fillId="0" borderId="0" xfId="0" applyFont="1" applyBorder="1" applyAlignment="1">
      <alignment horizontal="center" vertical="center" wrapText="1"/>
    </xf>
    <xf numFmtId="43" fontId="30" fillId="0" borderId="37" xfId="1" applyFont="1" applyFill="1" applyBorder="1" applyAlignment="1">
      <alignment horizontal="center" vertical="center" wrapText="1"/>
    </xf>
    <xf numFmtId="43" fontId="30" fillId="0" borderId="26" xfId="1" applyFont="1" applyFill="1" applyBorder="1" applyAlignment="1">
      <alignment horizontal="center" vertical="center" wrapText="1"/>
    </xf>
    <xf numFmtId="43" fontId="30" fillId="0" borderId="20" xfId="1" applyFont="1" applyFill="1" applyBorder="1" applyAlignment="1">
      <alignment horizontal="center" vertical="center" wrapText="1"/>
    </xf>
    <xf numFmtId="0" fontId="8" fillId="0" borderId="42" xfId="0" applyFont="1" applyBorder="1" applyAlignment="1">
      <alignment horizontal="center" vertical="center"/>
    </xf>
    <xf numFmtId="0" fontId="7" fillId="0" borderId="26" xfId="0" applyFont="1" applyBorder="1" applyAlignment="1">
      <alignment horizontal="center" vertical="center"/>
    </xf>
    <xf numFmtId="0" fontId="7" fillId="0" borderId="14" xfId="0" applyFont="1" applyFill="1" applyBorder="1" applyAlignment="1">
      <alignment horizontal="center" vertical="center" wrapText="1"/>
    </xf>
    <xf numFmtId="0" fontId="7" fillId="0" borderId="14" xfId="0" applyFont="1" applyBorder="1" applyAlignment="1">
      <alignment horizontal="center" vertical="center"/>
    </xf>
    <xf numFmtId="0" fontId="7" fillId="3" borderId="40" xfId="0" applyFont="1" applyFill="1" applyBorder="1" applyAlignment="1">
      <alignment horizontal="left" vertical="center"/>
    </xf>
    <xf numFmtId="0" fontId="7" fillId="3" borderId="41" xfId="0" applyFont="1" applyFill="1" applyBorder="1" applyAlignment="1">
      <alignment horizontal="left" vertical="center"/>
    </xf>
    <xf numFmtId="0" fontId="19" fillId="0" borderId="63" xfId="0" applyFont="1" applyBorder="1" applyAlignment="1">
      <alignment horizontal="left" vertical="center"/>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231"/>
  <sheetViews>
    <sheetView zoomScale="60" zoomScaleNormal="60" zoomScaleSheetLayoutView="85" workbookViewId="0">
      <pane xSplit="3" ySplit="8" topLeftCell="G21" activePane="bottomRight" state="frozen"/>
      <selection activeCell="B4" sqref="B4:S5"/>
      <selection pane="topRight" activeCell="B4" sqref="B4:S5"/>
      <selection pane="bottomLeft" activeCell="B4" sqref="B4:S5"/>
      <selection pane="bottomRight" activeCell="S22" sqref="S22:S25"/>
    </sheetView>
  </sheetViews>
  <sheetFormatPr defaultColWidth="9.140625" defaultRowHeight="15"/>
  <cols>
    <col min="1" max="1" width="5.42578125" style="1" customWidth="1"/>
    <col min="2" max="2" width="24.140625" style="1" customWidth="1"/>
    <col min="3" max="3" width="24" style="1" customWidth="1"/>
    <col min="4" max="4" width="21.140625" style="1" customWidth="1"/>
    <col min="5" max="5" width="15.42578125" style="1" customWidth="1"/>
    <col min="6" max="6" width="21.85546875" style="1" customWidth="1"/>
    <col min="7" max="7" width="39.140625" style="1" customWidth="1"/>
    <col min="8" max="8" width="19.42578125" style="1" customWidth="1"/>
    <col min="9" max="9" width="17.85546875" style="1" hidden="1" customWidth="1"/>
    <col min="10" max="10" width="15.140625" style="1" customWidth="1"/>
    <col min="11" max="11" width="16.28515625" style="1" customWidth="1"/>
    <col min="12" max="12" width="23.5703125" style="1" customWidth="1"/>
    <col min="13" max="13" width="18.85546875" style="1" customWidth="1"/>
    <col min="14" max="14" width="15.28515625" style="1" hidden="1" customWidth="1"/>
    <col min="15" max="15" width="16" style="1" customWidth="1"/>
    <col min="16" max="16" width="15" style="1" customWidth="1"/>
    <col min="17" max="17" width="18.140625" style="1" customWidth="1"/>
    <col min="18" max="18" width="18.42578125" style="1" customWidth="1"/>
    <col min="19" max="19" width="43.5703125" style="1" customWidth="1"/>
    <col min="20" max="16384" width="9.140625" style="1"/>
  </cols>
  <sheetData>
    <row r="1" spans="1:19" ht="21" customHeight="1">
      <c r="S1" s="31" t="s">
        <v>89</v>
      </c>
    </row>
    <row r="2" spans="1:19" ht="18.75" customHeight="1">
      <c r="A2" s="591" t="s">
        <v>10</v>
      </c>
      <c r="B2" s="591"/>
      <c r="C2" s="591"/>
      <c r="D2" s="591"/>
      <c r="E2" s="591"/>
      <c r="F2" s="591"/>
      <c r="G2" s="591"/>
      <c r="H2" s="591"/>
      <c r="I2" s="591"/>
      <c r="J2" s="591"/>
      <c r="K2" s="591"/>
      <c r="L2" s="591"/>
      <c r="M2" s="591"/>
      <c r="N2" s="591"/>
      <c r="O2" s="591"/>
      <c r="P2" s="591"/>
      <c r="Q2" s="591"/>
      <c r="R2" s="591"/>
      <c r="S2" s="591"/>
    </row>
    <row r="3" spans="1:19" ht="23.25" customHeight="1">
      <c r="B3" s="633" t="s">
        <v>9</v>
      </c>
      <c r="C3" s="633"/>
      <c r="D3" s="633"/>
      <c r="E3" s="633"/>
      <c r="F3" s="633"/>
      <c r="G3" s="633"/>
      <c r="H3" s="633"/>
      <c r="I3" s="633"/>
      <c r="J3" s="633"/>
      <c r="K3" s="633"/>
      <c r="L3" s="633"/>
      <c r="M3" s="633"/>
      <c r="N3" s="633"/>
      <c r="O3" s="633"/>
      <c r="P3" s="633"/>
      <c r="Q3" s="2"/>
      <c r="R3" s="2"/>
      <c r="S3" s="5" t="s">
        <v>129</v>
      </c>
    </row>
    <row r="4" spans="1:19" ht="24.75" customHeight="1">
      <c r="B4" s="610" t="s">
        <v>109</v>
      </c>
      <c r="C4" s="610"/>
      <c r="D4" s="610"/>
      <c r="E4" s="610"/>
      <c r="F4" s="610"/>
      <c r="G4" s="610"/>
      <c r="H4" s="610"/>
      <c r="I4" s="610"/>
      <c r="J4" s="610"/>
      <c r="K4" s="610"/>
      <c r="L4" s="610"/>
      <c r="M4" s="610"/>
      <c r="N4" s="610"/>
      <c r="O4" s="610"/>
      <c r="P4" s="610"/>
      <c r="Q4" s="610"/>
      <c r="R4" s="610"/>
      <c r="S4" s="610"/>
    </row>
    <row r="5" spans="1:19" ht="24.75" customHeight="1" thickBot="1">
      <c r="A5" s="587" t="s">
        <v>85</v>
      </c>
      <c r="B5" s="587"/>
      <c r="C5" s="6"/>
      <c r="D5" s="6"/>
      <c r="E5" s="6"/>
      <c r="F5" s="6"/>
      <c r="G5" s="6"/>
      <c r="H5" s="6"/>
      <c r="I5" s="6"/>
      <c r="J5" s="6"/>
      <c r="K5" s="6"/>
      <c r="L5" s="6"/>
      <c r="M5" s="6"/>
      <c r="N5" s="6"/>
      <c r="O5" s="6"/>
      <c r="P5" s="6"/>
      <c r="Q5" s="6"/>
      <c r="R5" s="6"/>
      <c r="S5" s="6"/>
    </row>
    <row r="6" spans="1:19" ht="42.75" customHeight="1">
      <c r="A6" s="634" t="s">
        <v>41</v>
      </c>
      <c r="B6" s="637" t="s">
        <v>1</v>
      </c>
      <c r="C6" s="616" t="s">
        <v>0</v>
      </c>
      <c r="D6" s="588" t="s">
        <v>26</v>
      </c>
      <c r="E6" s="588" t="s">
        <v>19</v>
      </c>
      <c r="F6" s="588" t="s">
        <v>20</v>
      </c>
      <c r="G6" s="630" t="s">
        <v>88</v>
      </c>
      <c r="H6" s="611" t="s">
        <v>8</v>
      </c>
      <c r="I6" s="611" t="s">
        <v>7</v>
      </c>
      <c r="J6" s="627" t="s">
        <v>39</v>
      </c>
      <c r="K6" s="640" t="s">
        <v>40</v>
      </c>
      <c r="L6" s="614" t="s">
        <v>108</v>
      </c>
      <c r="M6" s="615"/>
      <c r="N6" s="607" t="s">
        <v>11</v>
      </c>
      <c r="O6" s="627" t="s">
        <v>12</v>
      </c>
      <c r="P6" s="621" t="s">
        <v>25</v>
      </c>
      <c r="Q6" s="604" t="s">
        <v>130</v>
      </c>
      <c r="R6" s="611" t="s">
        <v>42</v>
      </c>
      <c r="S6" s="624" t="s">
        <v>2</v>
      </c>
    </row>
    <row r="7" spans="1:19" ht="24.75" customHeight="1">
      <c r="A7" s="635"/>
      <c r="B7" s="638"/>
      <c r="C7" s="617"/>
      <c r="D7" s="589"/>
      <c r="E7" s="589"/>
      <c r="F7" s="589"/>
      <c r="G7" s="631"/>
      <c r="H7" s="612"/>
      <c r="I7" s="612"/>
      <c r="J7" s="628"/>
      <c r="K7" s="612"/>
      <c r="L7" s="619" t="s">
        <v>34</v>
      </c>
      <c r="M7" s="619" t="s">
        <v>32</v>
      </c>
      <c r="N7" s="608"/>
      <c r="O7" s="628"/>
      <c r="P7" s="622"/>
      <c r="Q7" s="605"/>
      <c r="R7" s="612"/>
      <c r="S7" s="625"/>
    </row>
    <row r="8" spans="1:19" ht="45.75" customHeight="1" thickBot="1">
      <c r="A8" s="636"/>
      <c r="B8" s="639"/>
      <c r="C8" s="618"/>
      <c r="D8" s="590"/>
      <c r="E8" s="590"/>
      <c r="F8" s="590"/>
      <c r="G8" s="632"/>
      <c r="H8" s="613"/>
      <c r="I8" s="613"/>
      <c r="J8" s="629"/>
      <c r="K8" s="613"/>
      <c r="L8" s="620"/>
      <c r="M8" s="620"/>
      <c r="N8" s="609"/>
      <c r="O8" s="629"/>
      <c r="P8" s="623"/>
      <c r="Q8" s="606"/>
      <c r="R8" s="613"/>
      <c r="S8" s="626"/>
    </row>
    <row r="9" spans="1:19" ht="33.200000000000003" customHeight="1">
      <c r="A9" s="568">
        <v>1</v>
      </c>
      <c r="B9" s="569" t="s">
        <v>33</v>
      </c>
      <c r="C9" s="4" t="s">
        <v>3</v>
      </c>
      <c r="D9" s="34">
        <v>3438</v>
      </c>
      <c r="E9" s="35">
        <v>8558</v>
      </c>
      <c r="F9" s="36">
        <f>+D9*E9/1000000</f>
        <v>29.422404</v>
      </c>
      <c r="G9" s="576" t="s">
        <v>21</v>
      </c>
      <c r="H9" s="37"/>
      <c r="I9" s="38"/>
      <c r="J9" s="39">
        <v>0</v>
      </c>
      <c r="K9" s="39">
        <v>0</v>
      </c>
      <c r="L9" s="36">
        <v>0</v>
      </c>
      <c r="M9" s="40">
        <f>L9*E9/1000000</f>
        <v>0</v>
      </c>
      <c r="N9" s="36">
        <f t="shared" ref="N9:N18" si="0">L9/D9*100</f>
        <v>0</v>
      </c>
      <c r="O9" s="41">
        <v>0</v>
      </c>
      <c r="P9" s="41">
        <v>0</v>
      </c>
      <c r="Q9" s="42">
        <v>0</v>
      </c>
      <c r="R9" s="43">
        <v>0</v>
      </c>
      <c r="S9" s="86"/>
    </row>
    <row r="10" spans="1:19" ht="33.200000000000003" customHeight="1">
      <c r="A10" s="568"/>
      <c r="B10" s="570"/>
      <c r="C10" s="44" t="s">
        <v>4</v>
      </c>
      <c r="D10" s="45">
        <v>7425</v>
      </c>
      <c r="E10" s="46">
        <v>6950</v>
      </c>
      <c r="F10" s="47">
        <f>+D10*E10/1000000</f>
        <v>51.603749999999998</v>
      </c>
      <c r="G10" s="578"/>
      <c r="H10" s="48"/>
      <c r="I10" s="49"/>
      <c r="J10" s="50">
        <v>0</v>
      </c>
      <c r="K10" s="50">
        <v>0</v>
      </c>
      <c r="L10" s="51">
        <v>0</v>
      </c>
      <c r="M10" s="52">
        <f>L10*E10/1000000</f>
        <v>0</v>
      </c>
      <c r="N10" s="69">
        <f t="shared" si="0"/>
        <v>0</v>
      </c>
      <c r="O10" s="70">
        <v>0</v>
      </c>
      <c r="P10" s="70">
        <v>0</v>
      </c>
      <c r="Q10" s="53">
        <v>0</v>
      </c>
      <c r="R10" s="53">
        <v>0</v>
      </c>
      <c r="S10" s="217"/>
    </row>
    <row r="11" spans="1:19" ht="33.200000000000003" customHeight="1" thickBot="1">
      <c r="A11" s="568"/>
      <c r="B11" s="571"/>
      <c r="C11" s="54" t="s">
        <v>5</v>
      </c>
      <c r="D11" s="55">
        <f>SUM(D9:D10)</f>
        <v>10863</v>
      </c>
      <c r="E11" s="56"/>
      <c r="F11" s="57">
        <f>SUM(F9:F10)</f>
        <v>81.026153999999991</v>
      </c>
      <c r="G11" s="58"/>
      <c r="H11" s="59"/>
      <c r="I11" s="58"/>
      <c r="J11" s="58">
        <f t="shared" ref="J11:Q11" si="1">SUM(J9:J10)</f>
        <v>0</v>
      </c>
      <c r="K11" s="60">
        <f t="shared" si="1"/>
        <v>0</v>
      </c>
      <c r="L11" s="61">
        <f t="shared" si="1"/>
        <v>0</v>
      </c>
      <c r="M11" s="57">
        <f t="shared" si="1"/>
        <v>0</v>
      </c>
      <c r="N11" s="57">
        <f t="shared" si="0"/>
        <v>0</v>
      </c>
      <c r="O11" s="60">
        <f t="shared" si="1"/>
        <v>0</v>
      </c>
      <c r="P11" s="60">
        <f t="shared" si="1"/>
        <v>0</v>
      </c>
      <c r="Q11" s="57">
        <f t="shared" si="1"/>
        <v>0</v>
      </c>
      <c r="R11" s="57">
        <v>0</v>
      </c>
      <c r="S11" s="62"/>
    </row>
    <row r="12" spans="1:19" ht="33.200000000000003" customHeight="1">
      <c r="A12" s="568">
        <v>2</v>
      </c>
      <c r="B12" s="569" t="s">
        <v>90</v>
      </c>
      <c r="C12" s="4" t="s">
        <v>3</v>
      </c>
      <c r="D12" s="34">
        <v>9000</v>
      </c>
      <c r="E12" s="35">
        <v>8558</v>
      </c>
      <c r="F12" s="36">
        <f>+D12*E12/1000000</f>
        <v>77.022000000000006</v>
      </c>
      <c r="G12" s="219" t="s">
        <v>114</v>
      </c>
      <c r="H12" s="37"/>
      <c r="I12" s="38"/>
      <c r="J12" s="39">
        <v>0</v>
      </c>
      <c r="K12" s="39">
        <v>0</v>
      </c>
      <c r="L12" s="36">
        <v>0</v>
      </c>
      <c r="M12" s="40">
        <f>L12*E12/1000000</f>
        <v>0</v>
      </c>
      <c r="N12" s="36">
        <f t="shared" si="0"/>
        <v>0</v>
      </c>
      <c r="O12" s="41">
        <v>0</v>
      </c>
      <c r="P12" s="41">
        <v>0</v>
      </c>
      <c r="Q12" s="42">
        <v>0</v>
      </c>
      <c r="R12" s="43">
        <v>0</v>
      </c>
      <c r="S12" s="86"/>
    </row>
    <row r="13" spans="1:19" ht="33.200000000000003" customHeight="1">
      <c r="A13" s="568"/>
      <c r="B13" s="570"/>
      <c r="C13" s="44" t="s">
        <v>4</v>
      </c>
      <c r="D13" s="45">
        <v>53000</v>
      </c>
      <c r="E13" s="46">
        <v>6950</v>
      </c>
      <c r="F13" s="47">
        <f>+D13*E13/1000000</f>
        <v>368.35</v>
      </c>
      <c r="G13" s="220" t="s">
        <v>114</v>
      </c>
      <c r="H13" s="48"/>
      <c r="I13" s="49"/>
      <c r="J13" s="50">
        <v>0</v>
      </c>
      <c r="K13" s="50">
        <v>0</v>
      </c>
      <c r="L13" s="51">
        <v>0</v>
      </c>
      <c r="M13" s="52">
        <f>L13*E13/1000000</f>
        <v>0</v>
      </c>
      <c r="N13" s="69">
        <f t="shared" si="0"/>
        <v>0</v>
      </c>
      <c r="O13" s="70">
        <v>0</v>
      </c>
      <c r="P13" s="70">
        <v>0</v>
      </c>
      <c r="Q13" s="53">
        <v>0</v>
      </c>
      <c r="R13" s="52">
        <v>0</v>
      </c>
      <c r="S13" s="217"/>
    </row>
    <row r="14" spans="1:19" ht="33.200000000000003" customHeight="1">
      <c r="A14" s="568"/>
      <c r="B14" s="570"/>
      <c r="C14" s="179" t="s">
        <v>105</v>
      </c>
      <c r="D14" s="180">
        <v>998000</v>
      </c>
      <c r="E14" s="46">
        <v>6377</v>
      </c>
      <c r="F14" s="47">
        <f>+D14*E14/1000000</f>
        <v>6364.2460000000001</v>
      </c>
      <c r="G14" s="220" t="s">
        <v>114</v>
      </c>
      <c r="H14" s="182"/>
      <c r="I14" s="183"/>
      <c r="J14" s="50">
        <v>0</v>
      </c>
      <c r="K14" s="50">
        <v>0</v>
      </c>
      <c r="L14" s="51">
        <v>0</v>
      </c>
      <c r="M14" s="52">
        <f>L14*E14/1000000</f>
        <v>0</v>
      </c>
      <c r="N14" s="69">
        <f>L14/D14*100</f>
        <v>0</v>
      </c>
      <c r="O14" s="70">
        <v>0</v>
      </c>
      <c r="P14" s="70">
        <v>0</v>
      </c>
      <c r="Q14" s="53">
        <v>0</v>
      </c>
      <c r="R14" s="52">
        <v>0</v>
      </c>
      <c r="S14" s="218"/>
    </row>
    <row r="15" spans="1:19" ht="33.200000000000003" customHeight="1">
      <c r="A15" s="568"/>
      <c r="B15" s="570"/>
      <c r="C15" s="179" t="s">
        <v>15</v>
      </c>
      <c r="D15" s="180">
        <v>91343</v>
      </c>
      <c r="E15" s="181">
        <v>4600</v>
      </c>
      <c r="F15" s="47">
        <f>+D15*E15/1000000</f>
        <v>420.17779999999999</v>
      </c>
      <c r="G15" s="214" t="s">
        <v>114</v>
      </c>
      <c r="H15" s="182"/>
      <c r="I15" s="183"/>
      <c r="J15" s="50">
        <v>0</v>
      </c>
      <c r="K15" s="50">
        <v>0</v>
      </c>
      <c r="L15" s="51">
        <v>0</v>
      </c>
      <c r="M15" s="52">
        <f>L15*E15/1000000</f>
        <v>0</v>
      </c>
      <c r="N15" s="69">
        <f>L15/D15*100</f>
        <v>0</v>
      </c>
      <c r="O15" s="70">
        <v>0</v>
      </c>
      <c r="P15" s="70">
        <v>0</v>
      </c>
      <c r="Q15" s="53">
        <v>0</v>
      </c>
      <c r="R15" s="52">
        <v>0</v>
      </c>
      <c r="S15" s="218"/>
    </row>
    <row r="16" spans="1:19" ht="33.200000000000003" customHeight="1" thickBot="1">
      <c r="A16" s="568"/>
      <c r="B16" s="571"/>
      <c r="C16" s="54" t="s">
        <v>5</v>
      </c>
      <c r="D16" s="55">
        <f>SUM(D12:D15)</f>
        <v>1151343</v>
      </c>
      <c r="E16" s="56"/>
      <c r="F16" s="57">
        <f>SUM(F12:F15)</f>
        <v>7229.7958000000008</v>
      </c>
      <c r="G16" s="58"/>
      <c r="H16" s="59"/>
      <c r="I16" s="58"/>
      <c r="J16" s="58">
        <f>SUM(J12:J15)</f>
        <v>0</v>
      </c>
      <c r="K16" s="58">
        <f t="shared" ref="K16:Q16" si="2">SUM(K12:K15)</f>
        <v>0</v>
      </c>
      <c r="L16" s="61">
        <f t="shared" si="2"/>
        <v>0</v>
      </c>
      <c r="M16" s="61">
        <f t="shared" si="2"/>
        <v>0</v>
      </c>
      <c r="N16" s="61">
        <f t="shared" si="2"/>
        <v>0</v>
      </c>
      <c r="O16" s="61">
        <f t="shared" si="2"/>
        <v>0</v>
      </c>
      <c r="P16" s="61">
        <f t="shared" si="2"/>
        <v>0</v>
      </c>
      <c r="Q16" s="61">
        <f t="shared" si="2"/>
        <v>0</v>
      </c>
      <c r="R16" s="61">
        <v>0</v>
      </c>
      <c r="S16" s="216"/>
    </row>
    <row r="17" spans="1:19" ht="33.200000000000003" customHeight="1">
      <c r="A17" s="568">
        <v>3</v>
      </c>
      <c r="B17" s="579" t="s">
        <v>86</v>
      </c>
      <c r="C17" s="119" t="s">
        <v>87</v>
      </c>
      <c r="D17" s="34">
        <v>26250</v>
      </c>
      <c r="E17" s="35">
        <v>6760</v>
      </c>
      <c r="F17" s="36">
        <f>+D17*E17/1000000</f>
        <v>177.45</v>
      </c>
      <c r="G17" s="212" t="s">
        <v>115</v>
      </c>
      <c r="H17" s="37">
        <v>45214</v>
      </c>
      <c r="I17" s="38"/>
      <c r="J17" s="39">
        <v>22</v>
      </c>
      <c r="K17" s="39">
        <v>1</v>
      </c>
      <c r="L17" s="120">
        <v>190.73500000000001</v>
      </c>
      <c r="M17" s="43">
        <f>L17*E17/1000000</f>
        <v>1.2893686000000002</v>
      </c>
      <c r="N17" s="36">
        <f t="shared" si="0"/>
        <v>0.72660952380952393</v>
      </c>
      <c r="O17" s="108">
        <v>2654</v>
      </c>
      <c r="P17" s="108">
        <v>231</v>
      </c>
      <c r="Q17" s="42">
        <f>L17-173.735</f>
        <v>17</v>
      </c>
      <c r="R17" s="43">
        <v>0</v>
      </c>
      <c r="S17" s="121" t="s">
        <v>97</v>
      </c>
    </row>
    <row r="18" spans="1:19" ht="33.200000000000003" customHeight="1" thickBot="1">
      <c r="A18" s="568"/>
      <c r="B18" s="581"/>
      <c r="C18" s="54" t="s">
        <v>5</v>
      </c>
      <c r="D18" s="55">
        <f>SUM(D17:D17)</f>
        <v>26250</v>
      </c>
      <c r="E18" s="56"/>
      <c r="F18" s="57">
        <f>SUM(F17:F17)</f>
        <v>177.45</v>
      </c>
      <c r="G18" s="222"/>
      <c r="H18" s="59"/>
      <c r="I18" s="58"/>
      <c r="J18" s="58">
        <f>SUM(J17:J17)</f>
        <v>22</v>
      </c>
      <c r="K18" s="60">
        <f>SUM(K17:K17)</f>
        <v>1</v>
      </c>
      <c r="L18" s="61">
        <f>SUM(L17:L17)</f>
        <v>190.73500000000001</v>
      </c>
      <c r="M18" s="57">
        <f>SUM(M17:M17)</f>
        <v>1.2893686000000002</v>
      </c>
      <c r="N18" s="57">
        <f t="shared" si="0"/>
        <v>0.72660952380952393</v>
      </c>
      <c r="O18" s="60">
        <f>SUM(O17:O17)</f>
        <v>2654</v>
      </c>
      <c r="P18" s="60">
        <f>SUM(P17:P17)</f>
        <v>231</v>
      </c>
      <c r="Q18" s="57">
        <f>SUM(Q17:Q17)</f>
        <v>17</v>
      </c>
      <c r="R18" s="57">
        <v>0</v>
      </c>
      <c r="S18" s="62"/>
    </row>
    <row r="19" spans="1:19" ht="33.200000000000003" customHeight="1">
      <c r="A19" s="568">
        <v>4</v>
      </c>
      <c r="B19" s="579" t="s">
        <v>110</v>
      </c>
      <c r="C19" s="119" t="s">
        <v>3</v>
      </c>
      <c r="D19" s="34">
        <v>3768</v>
      </c>
      <c r="E19" s="35">
        <v>8558</v>
      </c>
      <c r="F19" s="36">
        <f>+D19*E19/1000000</f>
        <v>32.246544</v>
      </c>
      <c r="G19" s="212" t="s">
        <v>112</v>
      </c>
      <c r="H19" s="37">
        <v>45216</v>
      </c>
      <c r="I19" s="38"/>
      <c r="J19" s="39">
        <v>38</v>
      </c>
      <c r="K19" s="39">
        <v>0</v>
      </c>
      <c r="L19" s="120">
        <v>0</v>
      </c>
      <c r="M19" s="43">
        <f>L19*E19/1000000</f>
        <v>0</v>
      </c>
      <c r="N19" s="36">
        <f t="shared" ref="N19:N26" si="3">L19/D19*100</f>
        <v>0</v>
      </c>
      <c r="O19" s="41">
        <v>17222</v>
      </c>
      <c r="P19" s="41">
        <v>0</v>
      </c>
      <c r="Q19" s="42">
        <v>0</v>
      </c>
      <c r="R19" s="43">
        <v>0</v>
      </c>
      <c r="S19" s="257" t="s">
        <v>122</v>
      </c>
    </row>
    <row r="20" spans="1:19" ht="33.200000000000003" customHeight="1">
      <c r="A20" s="568"/>
      <c r="B20" s="580"/>
      <c r="C20" s="122" t="s">
        <v>105</v>
      </c>
      <c r="D20" s="123">
        <v>1580</v>
      </c>
      <c r="E20" s="124">
        <v>6377</v>
      </c>
      <c r="F20" s="69">
        <f>+D20*E20/1000000</f>
        <v>10.075659999999999</v>
      </c>
      <c r="G20" s="221" t="s">
        <v>113</v>
      </c>
      <c r="H20" s="125"/>
      <c r="I20" s="126"/>
      <c r="J20" s="223">
        <v>0</v>
      </c>
      <c r="K20" s="223">
        <v>0</v>
      </c>
      <c r="L20" s="69">
        <v>0</v>
      </c>
      <c r="M20" s="129">
        <f>L20*E20/1000000</f>
        <v>0</v>
      </c>
      <c r="N20" s="69">
        <f t="shared" si="3"/>
        <v>0</v>
      </c>
      <c r="O20" s="70">
        <v>0</v>
      </c>
      <c r="P20" s="70">
        <v>0</v>
      </c>
      <c r="Q20" s="224">
        <v>0</v>
      </c>
      <c r="R20" s="129">
        <v>0</v>
      </c>
      <c r="S20" s="208"/>
    </row>
    <row r="21" spans="1:19" ht="33.200000000000003" customHeight="1" thickBot="1">
      <c r="A21" s="568"/>
      <c r="B21" s="581"/>
      <c r="C21" s="54" t="s">
        <v>5</v>
      </c>
      <c r="D21" s="55">
        <f>SUM(D19:D20)</f>
        <v>5348</v>
      </c>
      <c r="E21" s="56"/>
      <c r="F21" s="57">
        <f>SUM(F19:F20)</f>
        <v>42.322203999999999</v>
      </c>
      <c r="G21" s="209"/>
      <c r="H21" s="59"/>
      <c r="I21" s="58"/>
      <c r="J21" s="58">
        <f>SUM(J19:J20)</f>
        <v>38</v>
      </c>
      <c r="K21" s="60">
        <f>SUM(K19:K19)</f>
        <v>0</v>
      </c>
      <c r="L21" s="61">
        <f>SUM(L19:L19)</f>
        <v>0</v>
      </c>
      <c r="M21" s="57">
        <f>SUM(M19:M19)</f>
        <v>0</v>
      </c>
      <c r="N21" s="57">
        <f t="shared" si="3"/>
        <v>0</v>
      </c>
      <c r="O21" s="60">
        <f>SUM(O19:O19)</f>
        <v>17222</v>
      </c>
      <c r="P21" s="60">
        <f>SUM(P19:P19)</f>
        <v>0</v>
      </c>
      <c r="Q21" s="57">
        <f>SUM(Q19:Q19)</f>
        <v>0</v>
      </c>
      <c r="R21" s="57">
        <v>0</v>
      </c>
      <c r="S21" s="62"/>
    </row>
    <row r="22" spans="1:19" ht="33.200000000000003" customHeight="1">
      <c r="A22" s="568">
        <v>5</v>
      </c>
      <c r="B22" s="569" t="s">
        <v>120</v>
      </c>
      <c r="C22" s="4" t="s">
        <v>3</v>
      </c>
      <c r="D22" s="34">
        <v>3240</v>
      </c>
      <c r="E22" s="35">
        <v>8558</v>
      </c>
      <c r="F22" s="36">
        <f>+D22*E22/1000000</f>
        <v>27.727920000000001</v>
      </c>
      <c r="G22" s="212" t="s">
        <v>124</v>
      </c>
      <c r="H22" s="37"/>
      <c r="I22" s="38"/>
      <c r="J22" s="39">
        <v>0</v>
      </c>
      <c r="K22" s="39">
        <v>0</v>
      </c>
      <c r="L22" s="36">
        <v>0</v>
      </c>
      <c r="M22" s="40">
        <f>L22*E22/1000000</f>
        <v>0</v>
      </c>
      <c r="N22" s="36">
        <f t="shared" si="3"/>
        <v>0</v>
      </c>
      <c r="O22" s="41">
        <v>0</v>
      </c>
      <c r="P22" s="41">
        <v>0</v>
      </c>
      <c r="Q22" s="42">
        <v>0</v>
      </c>
      <c r="R22" s="43">
        <v>0</v>
      </c>
      <c r="S22" s="572" t="s">
        <v>125</v>
      </c>
    </row>
    <row r="23" spans="1:19" ht="33.200000000000003" customHeight="1">
      <c r="A23" s="568"/>
      <c r="B23" s="570"/>
      <c r="C23" s="44" t="s">
        <v>4</v>
      </c>
      <c r="D23" s="45">
        <v>296400</v>
      </c>
      <c r="E23" s="46">
        <v>6950</v>
      </c>
      <c r="F23" s="47">
        <f>+D23*E23/1000000</f>
        <v>2059.98</v>
      </c>
      <c r="G23" s="220" t="s">
        <v>124</v>
      </c>
      <c r="H23" s="48"/>
      <c r="I23" s="49"/>
      <c r="J23" s="50">
        <v>0</v>
      </c>
      <c r="K23" s="50">
        <v>0</v>
      </c>
      <c r="L23" s="51">
        <v>0</v>
      </c>
      <c r="M23" s="52">
        <f>L23*E23/1000000</f>
        <v>0</v>
      </c>
      <c r="N23" s="69">
        <f t="shared" si="3"/>
        <v>0</v>
      </c>
      <c r="O23" s="70">
        <v>0</v>
      </c>
      <c r="P23" s="70">
        <v>0</v>
      </c>
      <c r="Q23" s="53">
        <v>0</v>
      </c>
      <c r="R23" s="52">
        <v>0</v>
      </c>
      <c r="S23" s="573"/>
    </row>
    <row r="24" spans="1:19" ht="33.200000000000003" customHeight="1">
      <c r="A24" s="568"/>
      <c r="B24" s="570"/>
      <c r="C24" s="179" t="s">
        <v>105</v>
      </c>
      <c r="D24" s="180">
        <v>27148</v>
      </c>
      <c r="E24" s="46">
        <v>6377</v>
      </c>
      <c r="F24" s="47">
        <f>+D24*E24/1000000</f>
        <v>173.12279599999999</v>
      </c>
      <c r="G24" s="220" t="s">
        <v>124</v>
      </c>
      <c r="H24" s="182"/>
      <c r="I24" s="183"/>
      <c r="J24" s="50">
        <v>0</v>
      </c>
      <c r="K24" s="50">
        <v>0</v>
      </c>
      <c r="L24" s="51">
        <v>0</v>
      </c>
      <c r="M24" s="52">
        <f>L24*E24/1000000</f>
        <v>0</v>
      </c>
      <c r="N24" s="69">
        <f>L24/D24*100</f>
        <v>0</v>
      </c>
      <c r="O24" s="70">
        <v>0</v>
      </c>
      <c r="P24" s="70">
        <v>0</v>
      </c>
      <c r="Q24" s="53">
        <v>0</v>
      </c>
      <c r="R24" s="52">
        <v>0</v>
      </c>
      <c r="S24" s="573"/>
    </row>
    <row r="25" spans="1:19" ht="33.200000000000003" customHeight="1">
      <c r="A25" s="568"/>
      <c r="B25" s="570"/>
      <c r="C25" s="179" t="s">
        <v>121</v>
      </c>
      <c r="D25" s="180">
        <v>15538</v>
      </c>
      <c r="E25" s="181">
        <v>8635</v>
      </c>
      <c r="F25" s="47">
        <f>+D25*E25/1000000</f>
        <v>134.17062999999999</v>
      </c>
      <c r="G25" s="220" t="s">
        <v>124</v>
      </c>
      <c r="H25" s="182"/>
      <c r="I25" s="183"/>
      <c r="J25" s="50">
        <v>0</v>
      </c>
      <c r="K25" s="50">
        <v>0</v>
      </c>
      <c r="L25" s="51">
        <v>0</v>
      </c>
      <c r="M25" s="52">
        <f>L25*E25/1000000</f>
        <v>0</v>
      </c>
      <c r="N25" s="69">
        <f>L25/D25*100</f>
        <v>0</v>
      </c>
      <c r="O25" s="70">
        <v>0</v>
      </c>
      <c r="P25" s="70">
        <v>0</v>
      </c>
      <c r="Q25" s="53">
        <v>0</v>
      </c>
      <c r="R25" s="52">
        <v>0</v>
      </c>
      <c r="S25" s="574"/>
    </row>
    <row r="26" spans="1:19" ht="33.200000000000003" customHeight="1" thickBot="1">
      <c r="A26" s="568"/>
      <c r="B26" s="571"/>
      <c r="C26" s="54" t="s">
        <v>5</v>
      </c>
      <c r="D26" s="55">
        <f>SUM(D22:D25)</f>
        <v>342326</v>
      </c>
      <c r="E26" s="56"/>
      <c r="F26" s="57">
        <f>SUM(F22:F25)</f>
        <v>2395.001346</v>
      </c>
      <c r="G26" s="58"/>
      <c r="H26" s="59"/>
      <c r="I26" s="58"/>
      <c r="J26" s="58">
        <f>SUM(J22:J25)</f>
        <v>0</v>
      </c>
      <c r="K26" s="58">
        <f>SUM(K22:K25)</f>
        <v>0</v>
      </c>
      <c r="L26" s="61">
        <f>SUM(L22:L25)</f>
        <v>0</v>
      </c>
      <c r="M26" s="61">
        <f>SUM(M22:M25)</f>
        <v>0</v>
      </c>
      <c r="N26" s="57">
        <f t="shared" si="3"/>
        <v>0</v>
      </c>
      <c r="O26" s="60">
        <f>SUM(O22:O25)</f>
        <v>0</v>
      </c>
      <c r="P26" s="60">
        <f>SUM(P22:P25)</f>
        <v>0</v>
      </c>
      <c r="Q26" s="57">
        <f>SUM(Q22:Q25)</f>
        <v>0</v>
      </c>
      <c r="R26" s="57">
        <v>0</v>
      </c>
      <c r="S26" s="62"/>
    </row>
    <row r="27" spans="1:19" ht="33.200000000000003" customHeight="1">
      <c r="A27" s="568">
        <v>6</v>
      </c>
      <c r="B27" s="569" t="s">
        <v>123</v>
      </c>
      <c r="C27" s="4" t="s">
        <v>3</v>
      </c>
      <c r="D27" s="34">
        <v>4530</v>
      </c>
      <c r="E27" s="35">
        <v>8558</v>
      </c>
      <c r="F27" s="36">
        <f>+D27*E27/1000000</f>
        <v>38.767740000000003</v>
      </c>
      <c r="G27" s="565" t="s">
        <v>21</v>
      </c>
      <c r="H27" s="37"/>
      <c r="I27" s="38"/>
      <c r="J27" s="39">
        <v>0</v>
      </c>
      <c r="K27" s="39">
        <v>0</v>
      </c>
      <c r="L27" s="36">
        <v>0</v>
      </c>
      <c r="M27" s="40">
        <f>L27*E27/1000000</f>
        <v>0</v>
      </c>
      <c r="N27" s="36">
        <f t="shared" ref="N27:N32" si="4">L27/D27*100</f>
        <v>0</v>
      </c>
      <c r="O27" s="41">
        <v>0</v>
      </c>
      <c r="P27" s="41">
        <v>0</v>
      </c>
      <c r="Q27" s="42">
        <v>0</v>
      </c>
      <c r="R27" s="43">
        <v>0</v>
      </c>
      <c r="S27" s="86"/>
    </row>
    <row r="28" spans="1:19" ht="33.200000000000003" customHeight="1">
      <c r="A28" s="568"/>
      <c r="B28" s="570"/>
      <c r="C28" s="44" t="s">
        <v>4</v>
      </c>
      <c r="D28" s="45">
        <v>5664</v>
      </c>
      <c r="E28" s="46">
        <v>6950</v>
      </c>
      <c r="F28" s="47">
        <f>+D28*E28/1000000</f>
        <v>39.364800000000002</v>
      </c>
      <c r="G28" s="575"/>
      <c r="H28" s="48"/>
      <c r="I28" s="49"/>
      <c r="J28" s="50">
        <v>0</v>
      </c>
      <c r="K28" s="50">
        <v>0</v>
      </c>
      <c r="L28" s="51">
        <v>0</v>
      </c>
      <c r="M28" s="52">
        <f>L28*E28/1000000</f>
        <v>0</v>
      </c>
      <c r="N28" s="69">
        <f t="shared" si="4"/>
        <v>0</v>
      </c>
      <c r="O28" s="70">
        <v>0</v>
      </c>
      <c r="P28" s="70">
        <v>0</v>
      </c>
      <c r="Q28" s="53">
        <v>0</v>
      </c>
      <c r="R28" s="52">
        <v>0</v>
      </c>
      <c r="S28" s="217"/>
    </row>
    <row r="29" spans="1:19" ht="33.200000000000003" customHeight="1">
      <c r="A29" s="568"/>
      <c r="B29" s="570"/>
      <c r="C29" s="179" t="s">
        <v>15</v>
      </c>
      <c r="D29" s="180">
        <v>81760</v>
      </c>
      <c r="E29" s="181">
        <v>4600</v>
      </c>
      <c r="F29" s="47">
        <f>+D29*E29/1000000</f>
        <v>376.096</v>
      </c>
      <c r="G29" s="575"/>
      <c r="H29" s="182"/>
      <c r="I29" s="183"/>
      <c r="J29" s="50">
        <v>0</v>
      </c>
      <c r="K29" s="50">
        <v>0</v>
      </c>
      <c r="L29" s="51">
        <v>0</v>
      </c>
      <c r="M29" s="52">
        <f>L29*E29/1000000</f>
        <v>0</v>
      </c>
      <c r="N29" s="69">
        <f t="shared" si="4"/>
        <v>0</v>
      </c>
      <c r="O29" s="70">
        <v>0</v>
      </c>
      <c r="P29" s="70">
        <v>0</v>
      </c>
      <c r="Q29" s="53">
        <v>0</v>
      </c>
      <c r="R29" s="52">
        <v>0</v>
      </c>
      <c r="S29" s="218"/>
    </row>
    <row r="30" spans="1:19" ht="33.200000000000003" customHeight="1" thickBot="1">
      <c r="A30" s="568"/>
      <c r="B30" s="571"/>
      <c r="C30" s="54" t="s">
        <v>5</v>
      </c>
      <c r="D30" s="55">
        <f>SUM(D27:D29)</f>
        <v>91954</v>
      </c>
      <c r="E30" s="56"/>
      <c r="F30" s="57">
        <f>SUM(F27:F29)</f>
        <v>454.22854000000001</v>
      </c>
      <c r="G30" s="58"/>
      <c r="H30" s="59"/>
      <c r="I30" s="58"/>
      <c r="J30" s="58">
        <f>SUM(J27:J29)</f>
        <v>0</v>
      </c>
      <c r="K30" s="58">
        <f>SUM(K27:K29)</f>
        <v>0</v>
      </c>
      <c r="L30" s="61">
        <f>SUM(L27:L29)</f>
        <v>0</v>
      </c>
      <c r="M30" s="61">
        <f>SUM(M27:M29)</f>
        <v>0</v>
      </c>
      <c r="N30" s="57">
        <f t="shared" si="4"/>
        <v>0</v>
      </c>
      <c r="O30" s="60">
        <f>SUM(O27:O29)</f>
        <v>0</v>
      </c>
      <c r="P30" s="60">
        <f>SUM(P27:P29)</f>
        <v>0</v>
      </c>
      <c r="Q30" s="57">
        <f>SUM(Q27:Q29)</f>
        <v>0</v>
      </c>
      <c r="R30" s="57">
        <v>0</v>
      </c>
      <c r="S30" s="62"/>
    </row>
    <row r="31" spans="1:19" ht="33.200000000000003" customHeight="1">
      <c r="A31" s="568">
        <v>7</v>
      </c>
      <c r="B31" s="569" t="s">
        <v>126</v>
      </c>
      <c r="C31" s="4" t="s">
        <v>3</v>
      </c>
      <c r="D31" s="34">
        <v>293865</v>
      </c>
      <c r="E31" s="35">
        <v>8558</v>
      </c>
      <c r="F31" s="36">
        <f>+D31*E31/1000000</f>
        <v>2514.8966700000001</v>
      </c>
      <c r="G31" s="576" t="s">
        <v>21</v>
      </c>
      <c r="H31" s="37"/>
      <c r="I31" s="38"/>
      <c r="J31" s="39">
        <v>0</v>
      </c>
      <c r="K31" s="39">
        <v>0</v>
      </c>
      <c r="L31" s="36">
        <v>0</v>
      </c>
      <c r="M31" s="40">
        <f>L31*E31/1000000</f>
        <v>0</v>
      </c>
      <c r="N31" s="36">
        <f t="shared" si="4"/>
        <v>0</v>
      </c>
      <c r="O31" s="41">
        <v>0</v>
      </c>
      <c r="P31" s="41">
        <v>0</v>
      </c>
      <c r="Q31" s="42">
        <v>0</v>
      </c>
      <c r="R31" s="43">
        <v>0</v>
      </c>
      <c r="S31" s="86"/>
    </row>
    <row r="32" spans="1:19" ht="33.200000000000003" customHeight="1">
      <c r="A32" s="568"/>
      <c r="B32" s="570"/>
      <c r="C32" s="44" t="s">
        <v>4</v>
      </c>
      <c r="D32" s="45">
        <v>135200</v>
      </c>
      <c r="E32" s="46">
        <v>6950</v>
      </c>
      <c r="F32" s="47">
        <f>+D32*E32/1000000</f>
        <v>939.64</v>
      </c>
      <c r="G32" s="577"/>
      <c r="H32" s="48"/>
      <c r="I32" s="49"/>
      <c r="J32" s="50">
        <v>0</v>
      </c>
      <c r="K32" s="50">
        <v>0</v>
      </c>
      <c r="L32" s="51">
        <v>0</v>
      </c>
      <c r="M32" s="52">
        <f>L32*E32/1000000</f>
        <v>0</v>
      </c>
      <c r="N32" s="69">
        <f t="shared" si="4"/>
        <v>0</v>
      </c>
      <c r="O32" s="70">
        <v>0</v>
      </c>
      <c r="P32" s="70">
        <v>0</v>
      </c>
      <c r="Q32" s="53">
        <v>0</v>
      </c>
      <c r="R32" s="53">
        <v>0</v>
      </c>
      <c r="S32" s="217"/>
    </row>
    <row r="33" spans="1:19" ht="33.200000000000003" customHeight="1">
      <c r="A33" s="568"/>
      <c r="B33" s="570"/>
      <c r="C33" s="179" t="s">
        <v>105</v>
      </c>
      <c r="D33" s="180">
        <v>480803</v>
      </c>
      <c r="E33" s="46">
        <v>6377</v>
      </c>
      <c r="F33" s="47">
        <f>+D33*E33/1000000</f>
        <v>3066.080731</v>
      </c>
      <c r="G33" s="577"/>
      <c r="H33" s="182"/>
      <c r="I33" s="183"/>
      <c r="J33" s="50">
        <v>0</v>
      </c>
      <c r="K33" s="50">
        <v>0</v>
      </c>
      <c r="L33" s="51">
        <v>0</v>
      </c>
      <c r="M33" s="52">
        <f>L33*E33/1000000</f>
        <v>0</v>
      </c>
      <c r="N33" s="69">
        <f>L33/D33*100</f>
        <v>0</v>
      </c>
      <c r="O33" s="70">
        <v>0</v>
      </c>
      <c r="P33" s="70">
        <v>0</v>
      </c>
      <c r="Q33" s="53">
        <v>0</v>
      </c>
      <c r="R33" s="52">
        <v>0</v>
      </c>
      <c r="S33" s="218"/>
    </row>
    <row r="34" spans="1:19" ht="33.200000000000003" customHeight="1">
      <c r="A34" s="568"/>
      <c r="B34" s="570"/>
      <c r="C34" s="179" t="s">
        <v>15</v>
      </c>
      <c r="D34" s="180">
        <v>301650</v>
      </c>
      <c r="E34" s="181">
        <v>4600</v>
      </c>
      <c r="F34" s="47">
        <f>+D34*E34/1000000</f>
        <v>1387.59</v>
      </c>
      <c r="G34" s="578"/>
      <c r="H34" s="182"/>
      <c r="I34" s="183"/>
      <c r="J34" s="50">
        <v>0</v>
      </c>
      <c r="K34" s="50">
        <v>0</v>
      </c>
      <c r="L34" s="51">
        <v>0</v>
      </c>
      <c r="M34" s="52">
        <f>L34*E34/1000000</f>
        <v>0</v>
      </c>
      <c r="N34" s="69">
        <f>L34/D34*100</f>
        <v>0</v>
      </c>
      <c r="O34" s="70">
        <v>0</v>
      </c>
      <c r="P34" s="70">
        <v>0</v>
      </c>
      <c r="Q34" s="53">
        <v>0</v>
      </c>
      <c r="R34" s="52">
        <v>0</v>
      </c>
      <c r="S34" s="218"/>
    </row>
    <row r="35" spans="1:19" ht="33.200000000000003" customHeight="1" thickBot="1">
      <c r="A35" s="568"/>
      <c r="B35" s="571"/>
      <c r="C35" s="54" t="s">
        <v>5</v>
      </c>
      <c r="D35" s="55">
        <f>SUM(D31:D34)</f>
        <v>1211518</v>
      </c>
      <c r="E35" s="56"/>
      <c r="F35" s="57">
        <f>SUM(F31:F34)</f>
        <v>7908.2074009999997</v>
      </c>
      <c r="G35" s="58"/>
      <c r="H35" s="59"/>
      <c r="I35" s="58"/>
      <c r="J35" s="58">
        <f>SUM(J31:J34)</f>
        <v>0</v>
      </c>
      <c r="K35" s="58">
        <f t="shared" ref="K35:Q35" si="5">SUM(K31:K34)</f>
        <v>0</v>
      </c>
      <c r="L35" s="61">
        <f>SUM(L31:L34)</f>
        <v>0</v>
      </c>
      <c r="M35" s="61">
        <f t="shared" si="5"/>
        <v>0</v>
      </c>
      <c r="N35" s="61">
        <f t="shared" si="5"/>
        <v>0</v>
      </c>
      <c r="O35" s="61">
        <f t="shared" si="5"/>
        <v>0</v>
      </c>
      <c r="P35" s="61">
        <f t="shared" si="5"/>
        <v>0</v>
      </c>
      <c r="Q35" s="61">
        <f t="shared" si="5"/>
        <v>0</v>
      </c>
      <c r="R35" s="61">
        <v>0</v>
      </c>
      <c r="S35" s="216"/>
    </row>
    <row r="36" spans="1:19" ht="33.200000000000003" customHeight="1">
      <c r="A36" s="568">
        <v>8</v>
      </c>
      <c r="B36" s="579" t="s">
        <v>127</v>
      </c>
      <c r="C36" s="4" t="s">
        <v>3</v>
      </c>
      <c r="D36" s="34">
        <v>14900</v>
      </c>
      <c r="E36" s="35">
        <v>8558</v>
      </c>
      <c r="F36" s="36">
        <f>+D36*E36/1000000</f>
        <v>127.5142</v>
      </c>
      <c r="G36" s="565" t="s">
        <v>21</v>
      </c>
      <c r="H36" s="37"/>
      <c r="I36" s="38"/>
      <c r="J36" s="39">
        <v>0</v>
      </c>
      <c r="K36" s="39">
        <v>0</v>
      </c>
      <c r="L36" s="43">
        <v>0</v>
      </c>
      <c r="M36" s="43">
        <f>L36*E36/1000000</f>
        <v>0</v>
      </c>
      <c r="N36" s="36">
        <f>L36/D36*100</f>
        <v>0</v>
      </c>
      <c r="O36" s="41">
        <v>0</v>
      </c>
      <c r="P36" s="41">
        <v>0</v>
      </c>
      <c r="Q36" s="42">
        <f>L36-0</f>
        <v>0</v>
      </c>
      <c r="R36" s="43">
        <v>0</v>
      </c>
      <c r="S36" s="173"/>
    </row>
    <row r="37" spans="1:19" ht="33.200000000000003" customHeight="1">
      <c r="A37" s="568"/>
      <c r="B37" s="580"/>
      <c r="C37" s="179" t="s">
        <v>15</v>
      </c>
      <c r="D37" s="123">
        <v>1143000</v>
      </c>
      <c r="E37" s="124">
        <v>4600</v>
      </c>
      <c r="F37" s="231">
        <f>+D37*E37/1000000</f>
        <v>5257.8</v>
      </c>
      <c r="G37" s="566"/>
      <c r="H37" s="125"/>
      <c r="I37" s="126"/>
      <c r="J37" s="127"/>
      <c r="K37" s="127"/>
      <c r="L37" s="130"/>
      <c r="M37" s="130"/>
      <c r="N37" s="231"/>
      <c r="O37" s="232"/>
      <c r="P37" s="232"/>
      <c r="Q37" s="234"/>
      <c r="R37" s="130"/>
      <c r="S37" s="267"/>
    </row>
    <row r="38" spans="1:19" ht="33.200000000000003" customHeight="1" thickBot="1">
      <c r="A38" s="568"/>
      <c r="B38" s="581"/>
      <c r="C38" s="54" t="s">
        <v>5</v>
      </c>
      <c r="D38" s="55">
        <f>SUM(D36:D37)</f>
        <v>1157900</v>
      </c>
      <c r="E38" s="55"/>
      <c r="F38" s="57">
        <f>SUM(F36:F37)</f>
        <v>5385.3141999999998</v>
      </c>
      <c r="G38" s="567"/>
      <c r="H38" s="59"/>
      <c r="I38" s="58"/>
      <c r="J38" s="58">
        <f>SUM(J36:J37)</f>
        <v>0</v>
      </c>
      <c r="K38" s="58">
        <f t="shared" ref="K38:R38" si="6">SUM(K36:K37)</f>
        <v>0</v>
      </c>
      <c r="L38" s="61">
        <f t="shared" si="6"/>
        <v>0</v>
      </c>
      <c r="M38" s="61">
        <f t="shared" si="6"/>
        <v>0</v>
      </c>
      <c r="N38" s="61">
        <f t="shared" si="6"/>
        <v>0</v>
      </c>
      <c r="O38" s="61">
        <f t="shared" si="6"/>
        <v>0</v>
      </c>
      <c r="P38" s="61">
        <f t="shared" si="6"/>
        <v>0</v>
      </c>
      <c r="Q38" s="61">
        <f t="shared" si="6"/>
        <v>0</v>
      </c>
      <c r="R38" s="61">
        <f t="shared" si="6"/>
        <v>0</v>
      </c>
      <c r="S38" s="62"/>
    </row>
    <row r="39" spans="1:19" ht="33.200000000000003" customHeight="1" thickBot="1">
      <c r="A39" s="73"/>
      <c r="B39" s="592" t="s">
        <v>35</v>
      </c>
      <c r="C39" s="593"/>
      <c r="D39" s="63">
        <f>D11+D18+D16+D21+D26+D30+D35+D38</f>
        <v>3997502</v>
      </c>
      <c r="E39" s="63">
        <f>E11+E18+E16</f>
        <v>0</v>
      </c>
      <c r="F39" s="90">
        <f>F11+F18+F16+F21+F26+F30+F35+F38</f>
        <v>23673.345645000001</v>
      </c>
      <c r="G39" s="210"/>
      <c r="H39" s="64"/>
      <c r="I39" s="63"/>
      <c r="J39" s="65">
        <f t="shared" ref="J39:Q39" si="7">J11+J18+J21+J16+J26+J30+J35</f>
        <v>60</v>
      </c>
      <c r="K39" s="65">
        <f t="shared" si="7"/>
        <v>1</v>
      </c>
      <c r="L39" s="90">
        <f t="shared" si="7"/>
        <v>190.73500000000001</v>
      </c>
      <c r="M39" s="90">
        <f t="shared" si="7"/>
        <v>1.2893686000000002</v>
      </c>
      <c r="N39" s="90">
        <f t="shared" si="7"/>
        <v>0.72660952380952393</v>
      </c>
      <c r="O39" s="256">
        <f t="shared" si="7"/>
        <v>19876</v>
      </c>
      <c r="P39" s="256">
        <f t="shared" si="7"/>
        <v>231</v>
      </c>
      <c r="Q39" s="90">
        <f t="shared" si="7"/>
        <v>17</v>
      </c>
      <c r="R39" s="90">
        <v>0</v>
      </c>
      <c r="S39" s="66"/>
    </row>
    <row r="40" spans="1:19" ht="32.25" customHeight="1">
      <c r="A40" s="143"/>
      <c r="B40" s="144"/>
      <c r="C40" s="144"/>
      <c r="D40" s="102"/>
      <c r="E40" s="102"/>
      <c r="F40" s="103"/>
      <c r="G40" s="211"/>
      <c r="H40" s="104"/>
      <c r="I40" s="102"/>
      <c r="J40" s="105"/>
      <c r="K40" s="105"/>
      <c r="L40" s="106"/>
      <c r="M40" s="106"/>
      <c r="N40" s="102"/>
      <c r="O40" s="105"/>
      <c r="P40" s="105"/>
      <c r="Q40" s="103"/>
      <c r="R40" s="103"/>
      <c r="S40" s="107"/>
    </row>
    <row r="41" spans="1:19" ht="39.75" customHeight="1" thickBot="1">
      <c r="A41" s="596" t="s">
        <v>91</v>
      </c>
      <c r="B41" s="597"/>
      <c r="C41" s="598"/>
      <c r="D41" s="235"/>
      <c r="E41" s="235"/>
      <c r="F41" s="236"/>
      <c r="G41" s="237"/>
      <c r="H41" s="238"/>
      <c r="I41" s="235"/>
      <c r="J41" s="239"/>
      <c r="K41" s="239"/>
      <c r="L41" s="240"/>
      <c r="M41" s="240"/>
      <c r="N41" s="235"/>
      <c r="O41" s="239"/>
      <c r="P41" s="239"/>
      <c r="Q41" s="236"/>
      <c r="R41" s="236"/>
      <c r="S41" s="241"/>
    </row>
    <row r="42" spans="1:19" ht="36" customHeight="1">
      <c r="A42" s="585">
        <v>1</v>
      </c>
      <c r="B42" s="582" t="s">
        <v>86</v>
      </c>
      <c r="C42" s="226" t="s">
        <v>92</v>
      </c>
      <c r="D42" s="227">
        <v>54750</v>
      </c>
      <c r="E42" s="228">
        <v>11750</v>
      </c>
      <c r="F42" s="231">
        <f>+D42*E42/1000000</f>
        <v>643.3125</v>
      </c>
      <c r="G42" s="214" t="s">
        <v>93</v>
      </c>
      <c r="H42" s="229">
        <v>44979</v>
      </c>
      <c r="I42" s="230">
        <v>45133</v>
      </c>
      <c r="J42" s="127">
        <v>26</v>
      </c>
      <c r="K42" s="127">
        <v>26</v>
      </c>
      <c r="L42" s="129">
        <v>50184.08</v>
      </c>
      <c r="M42" s="130">
        <f>L42*E42/1000000</f>
        <v>589.66294000000005</v>
      </c>
      <c r="N42" s="231">
        <f>L42/D42*100</f>
        <v>91.660420091324198</v>
      </c>
      <c r="O42" s="232">
        <v>37632</v>
      </c>
      <c r="P42" s="233">
        <v>35235</v>
      </c>
      <c r="Q42" s="234">
        <f>L42-50184.08</f>
        <v>0</v>
      </c>
      <c r="R42" s="130">
        <v>0</v>
      </c>
      <c r="S42" s="225" t="s">
        <v>116</v>
      </c>
    </row>
    <row r="43" spans="1:19" ht="42" customHeight="1" thickBot="1">
      <c r="A43" s="586"/>
      <c r="B43" s="584"/>
      <c r="C43" s="109" t="s">
        <v>5</v>
      </c>
      <c r="D43" s="110">
        <f>SUM(D42)</f>
        <v>54750</v>
      </c>
      <c r="E43" s="111"/>
      <c r="F43" s="117">
        <f>SUM(F42)</f>
        <v>643.3125</v>
      </c>
      <c r="G43" s="213"/>
      <c r="H43" s="114"/>
      <c r="I43" s="113"/>
      <c r="J43" s="115">
        <f>SUM(J42:J42)</f>
        <v>26</v>
      </c>
      <c r="K43" s="116">
        <f>SUM(K42:K42)</f>
        <v>26</v>
      </c>
      <c r="L43" s="117">
        <f>SUM(L42)</f>
        <v>50184.08</v>
      </c>
      <c r="M43" s="117">
        <f>SUM(M42)</f>
        <v>589.66294000000005</v>
      </c>
      <c r="N43" s="112">
        <f>L43/D43*100</f>
        <v>91.660420091324198</v>
      </c>
      <c r="O43" s="111">
        <f>SUM(O42:O42)</f>
        <v>37632</v>
      </c>
      <c r="P43" s="116">
        <f>SUM(P42:P42)</f>
        <v>35235</v>
      </c>
      <c r="Q43" s="117">
        <f>SUM(Q42:Q42)</f>
        <v>0</v>
      </c>
      <c r="R43" s="117">
        <v>0</v>
      </c>
      <c r="S43" s="118"/>
    </row>
    <row r="44" spans="1:19" ht="42" customHeight="1">
      <c r="A44" s="585">
        <v>2</v>
      </c>
      <c r="B44" s="582" t="s">
        <v>33</v>
      </c>
      <c r="C44" s="119" t="s">
        <v>94</v>
      </c>
      <c r="D44" s="34">
        <v>88000</v>
      </c>
      <c r="E44" s="35">
        <v>10860</v>
      </c>
      <c r="F44" s="36">
        <f>+D44*E44/1000000</f>
        <v>955.68</v>
      </c>
      <c r="G44" s="212" t="s">
        <v>117</v>
      </c>
      <c r="H44" s="37">
        <v>45025</v>
      </c>
      <c r="I44" s="38">
        <v>45256</v>
      </c>
      <c r="J44" s="39">
        <v>71</v>
      </c>
      <c r="K44" s="39">
        <v>71</v>
      </c>
      <c r="L44" s="120">
        <v>59312.578500000003</v>
      </c>
      <c r="M44" s="43">
        <f>L44*E44/1000000</f>
        <v>644.13460251000004</v>
      </c>
      <c r="N44" s="36">
        <f>L44/D44*100</f>
        <v>67.400657386363633</v>
      </c>
      <c r="O44" s="41">
        <v>36902</v>
      </c>
      <c r="P44" s="41">
        <v>33076</v>
      </c>
      <c r="Q44" s="42">
        <f>L44-58327.68</f>
        <v>984.89850000000297</v>
      </c>
      <c r="R44" s="43">
        <v>2277.7485000000015</v>
      </c>
      <c r="S44" s="121" t="s">
        <v>118</v>
      </c>
    </row>
    <row r="45" spans="1:19" ht="32.25" customHeight="1">
      <c r="A45" s="603"/>
      <c r="B45" s="583"/>
      <c r="C45" s="122" t="s">
        <v>92</v>
      </c>
      <c r="D45" s="123">
        <v>2000</v>
      </c>
      <c r="E45" s="124">
        <v>11750</v>
      </c>
      <c r="F45" s="129">
        <f>+D45*E45/1000000</f>
        <v>23.5</v>
      </c>
      <c r="G45" s="214" t="s">
        <v>117</v>
      </c>
      <c r="H45" s="125"/>
      <c r="I45" s="126"/>
      <c r="J45" s="127"/>
      <c r="K45" s="127"/>
      <c r="L45" s="128">
        <v>0</v>
      </c>
      <c r="M45" s="129">
        <f>L45*E45/1000000</f>
        <v>0</v>
      </c>
      <c r="N45" s="130"/>
      <c r="O45" s="131"/>
      <c r="P45" s="132"/>
      <c r="Q45" s="133"/>
      <c r="R45" s="133"/>
      <c r="S45" s="193"/>
    </row>
    <row r="46" spans="1:19" ht="32.25" customHeight="1" thickBot="1">
      <c r="A46" s="586"/>
      <c r="B46" s="584"/>
      <c r="C46" s="109" t="s">
        <v>5</v>
      </c>
      <c r="D46" s="110">
        <f>SUM(D44:D45)</f>
        <v>90000</v>
      </c>
      <c r="E46" s="111"/>
      <c r="F46" s="117">
        <f>SUM(F44:F45)</f>
        <v>979.18</v>
      </c>
      <c r="G46" s="213"/>
      <c r="H46" s="114"/>
      <c r="I46" s="113"/>
      <c r="J46" s="115">
        <f>SUM(J44:J45)</f>
        <v>71</v>
      </c>
      <c r="K46" s="116">
        <f>SUM(K44:K45)</f>
        <v>71</v>
      </c>
      <c r="L46" s="117">
        <f>SUM(L44:L45)</f>
        <v>59312.578500000003</v>
      </c>
      <c r="M46" s="117">
        <f>SUM(M44:M45)</f>
        <v>644.13460251000004</v>
      </c>
      <c r="N46" s="112">
        <f t="shared" ref="N46:N53" si="8">L46/D46*100</f>
        <v>65.902865000000006</v>
      </c>
      <c r="O46" s="111">
        <f>SUM(O44:O45)</f>
        <v>36902</v>
      </c>
      <c r="P46" s="116">
        <f>SUM(P44:P45)</f>
        <v>33076</v>
      </c>
      <c r="Q46" s="117">
        <f>SUM(Q44:Q45)</f>
        <v>984.89850000000297</v>
      </c>
      <c r="R46" s="117">
        <v>2277.7485000000015</v>
      </c>
      <c r="S46" s="118"/>
    </row>
    <row r="47" spans="1:19" ht="32.25" customHeight="1">
      <c r="A47" s="585">
        <v>3</v>
      </c>
      <c r="B47" s="599" t="s">
        <v>95</v>
      </c>
      <c r="C47" s="119" t="s">
        <v>94</v>
      </c>
      <c r="D47" s="34">
        <v>3000</v>
      </c>
      <c r="E47" s="35">
        <v>10860</v>
      </c>
      <c r="F47" s="36">
        <f>+D47*E47/1000000</f>
        <v>32.58</v>
      </c>
      <c r="G47" s="212" t="s">
        <v>96</v>
      </c>
      <c r="H47" s="37">
        <v>45141</v>
      </c>
      <c r="I47" s="38"/>
      <c r="J47" s="39">
        <v>3</v>
      </c>
      <c r="K47" s="39">
        <v>3</v>
      </c>
      <c r="L47" s="120">
        <v>85.906000000000006</v>
      </c>
      <c r="M47" s="43">
        <f>L47*E47/1000000</f>
        <v>0.93293915999999999</v>
      </c>
      <c r="N47" s="36">
        <f t="shared" si="8"/>
        <v>2.8635333333333337</v>
      </c>
      <c r="O47" s="108">
        <v>958</v>
      </c>
      <c r="P47" s="108">
        <v>43</v>
      </c>
      <c r="Q47" s="42">
        <f>L47-85.906</f>
        <v>0</v>
      </c>
      <c r="R47" s="43">
        <v>0</v>
      </c>
      <c r="S47" s="121" t="s">
        <v>97</v>
      </c>
    </row>
    <row r="48" spans="1:19" ht="32.25" customHeight="1" thickBot="1">
      <c r="A48" s="586"/>
      <c r="B48" s="600"/>
      <c r="C48" s="109" t="s">
        <v>5</v>
      </c>
      <c r="D48" s="110">
        <f>SUM(D47)</f>
        <v>3000</v>
      </c>
      <c r="E48" s="111"/>
      <c r="F48" s="117">
        <f>SUM(F47)</f>
        <v>32.58</v>
      </c>
      <c r="G48" s="215"/>
      <c r="H48" s="114"/>
      <c r="I48" s="113"/>
      <c r="J48" s="115">
        <f>SUM(J47:J47)</f>
        <v>3</v>
      </c>
      <c r="K48" s="116">
        <f>SUM(K47:K47)</f>
        <v>3</v>
      </c>
      <c r="L48" s="117">
        <f>SUM(L47)</f>
        <v>85.906000000000006</v>
      </c>
      <c r="M48" s="117">
        <f>SUM(M47)</f>
        <v>0.93293915999999999</v>
      </c>
      <c r="N48" s="112">
        <f t="shared" si="8"/>
        <v>2.8635333333333337</v>
      </c>
      <c r="O48" s="111">
        <f>SUM(O47:O47)</f>
        <v>958</v>
      </c>
      <c r="P48" s="116">
        <f>SUM(P47:P47)</f>
        <v>43</v>
      </c>
      <c r="Q48" s="117">
        <f>SUM(Q47:Q47)</f>
        <v>0</v>
      </c>
      <c r="R48" s="117">
        <v>0</v>
      </c>
      <c r="S48" s="118"/>
    </row>
    <row r="49" spans="1:19" ht="32.25" customHeight="1">
      <c r="A49" s="585">
        <v>4</v>
      </c>
      <c r="B49" s="582" t="s">
        <v>98</v>
      </c>
      <c r="C49" s="119" t="s">
        <v>94</v>
      </c>
      <c r="D49" s="34">
        <v>50000</v>
      </c>
      <c r="E49" s="35">
        <v>10860</v>
      </c>
      <c r="F49" s="36">
        <f>+D49*E49/1000000</f>
        <v>543</v>
      </c>
      <c r="G49" s="212" t="s">
        <v>99</v>
      </c>
      <c r="H49" s="37">
        <v>45110</v>
      </c>
      <c r="I49" s="38">
        <v>45286</v>
      </c>
      <c r="J49" s="39">
        <v>68</v>
      </c>
      <c r="K49" s="39">
        <v>45</v>
      </c>
      <c r="L49" s="120">
        <v>643.8583000000001</v>
      </c>
      <c r="M49" s="43">
        <f>L49*E49/1000000</f>
        <v>6.9923011380000011</v>
      </c>
      <c r="N49" s="36">
        <f t="shared" si="8"/>
        <v>1.2877166000000002</v>
      </c>
      <c r="O49" s="108">
        <v>7869</v>
      </c>
      <c r="P49" s="108">
        <v>3327</v>
      </c>
      <c r="Q49" s="42">
        <f>L49-630.87</f>
        <v>12.988300000000095</v>
      </c>
      <c r="R49" s="43">
        <v>14.42670000000021</v>
      </c>
      <c r="S49" s="121" t="s">
        <v>97</v>
      </c>
    </row>
    <row r="50" spans="1:19" ht="32.25" customHeight="1" thickBot="1">
      <c r="A50" s="586"/>
      <c r="B50" s="584"/>
      <c r="C50" s="109" t="s">
        <v>5</v>
      </c>
      <c r="D50" s="110">
        <f>SUM(D49)</f>
        <v>50000</v>
      </c>
      <c r="E50" s="111"/>
      <c r="F50" s="117">
        <f>SUM(F49)</f>
        <v>543</v>
      </c>
      <c r="G50" s="209"/>
      <c r="H50" s="114"/>
      <c r="I50" s="113"/>
      <c r="J50" s="115">
        <f>SUM(J49:J49)</f>
        <v>68</v>
      </c>
      <c r="K50" s="116">
        <f>SUM(K49:K49)</f>
        <v>45</v>
      </c>
      <c r="L50" s="117">
        <f>SUM(L49)</f>
        <v>643.8583000000001</v>
      </c>
      <c r="M50" s="117">
        <f>SUM(M49)</f>
        <v>6.9923011380000011</v>
      </c>
      <c r="N50" s="112">
        <f t="shared" si="8"/>
        <v>1.2877166000000002</v>
      </c>
      <c r="O50" s="111">
        <f>SUM(O49:O49)</f>
        <v>7869</v>
      </c>
      <c r="P50" s="116">
        <f>SUM(P49:P49)</f>
        <v>3327</v>
      </c>
      <c r="Q50" s="117">
        <f>SUM(Q49:Q49)</f>
        <v>12.988300000000095</v>
      </c>
      <c r="R50" s="117">
        <v>14.42670000000021</v>
      </c>
      <c r="S50" s="118"/>
    </row>
    <row r="51" spans="1:19" ht="32.25" customHeight="1">
      <c r="A51" s="585">
        <v>5</v>
      </c>
      <c r="B51" s="582" t="s">
        <v>101</v>
      </c>
      <c r="C51" s="119" t="s">
        <v>94</v>
      </c>
      <c r="D51" s="34">
        <v>4250</v>
      </c>
      <c r="E51" s="35">
        <v>10860</v>
      </c>
      <c r="F51" s="36">
        <f>+D51*E51/1000000</f>
        <v>46.155000000000001</v>
      </c>
      <c r="G51" s="601" t="s">
        <v>21</v>
      </c>
      <c r="H51" s="37"/>
      <c r="I51" s="38"/>
      <c r="J51" s="39"/>
      <c r="K51" s="39"/>
      <c r="L51" s="43"/>
      <c r="M51" s="43">
        <f>L51*E51/1000000</f>
        <v>0</v>
      </c>
      <c r="N51" s="36">
        <f>L51/D51*100</f>
        <v>0</v>
      </c>
      <c r="O51" s="108"/>
      <c r="P51" s="108"/>
      <c r="Q51" s="42">
        <f>L51-0</f>
        <v>0</v>
      </c>
      <c r="R51" s="43">
        <v>0</v>
      </c>
      <c r="S51" s="173"/>
    </row>
    <row r="52" spans="1:19" ht="39" customHeight="1" thickBot="1">
      <c r="A52" s="586"/>
      <c r="B52" s="584"/>
      <c r="C52" s="109" t="s">
        <v>5</v>
      </c>
      <c r="D52" s="110">
        <f>SUM(D51)</f>
        <v>4250</v>
      </c>
      <c r="E52" s="111"/>
      <c r="F52" s="117">
        <f>SUM(F51)</f>
        <v>46.155000000000001</v>
      </c>
      <c r="G52" s="602"/>
      <c r="H52" s="114"/>
      <c r="I52" s="113"/>
      <c r="J52" s="115">
        <f>SUM(J51:J51)</f>
        <v>0</v>
      </c>
      <c r="K52" s="116">
        <f>SUM(K51:K51)</f>
        <v>0</v>
      </c>
      <c r="L52" s="117">
        <f>SUM(L51)</f>
        <v>0</v>
      </c>
      <c r="M52" s="117">
        <f>SUM(M51)</f>
        <v>0</v>
      </c>
      <c r="N52" s="112">
        <f>L52/D52*100</f>
        <v>0</v>
      </c>
      <c r="O52" s="111">
        <f>SUM(O51:O51)</f>
        <v>0</v>
      </c>
      <c r="P52" s="116">
        <f>SUM(P51:P51)</f>
        <v>0</v>
      </c>
      <c r="Q52" s="117">
        <f>SUM(Q51:Q51)</f>
        <v>0</v>
      </c>
      <c r="R52" s="117">
        <v>0</v>
      </c>
      <c r="S52" s="118"/>
    </row>
    <row r="53" spans="1:19" ht="32.25" customHeight="1" thickBot="1">
      <c r="A53" s="134"/>
      <c r="B53" s="135" t="s">
        <v>100</v>
      </c>
      <c r="C53" s="136"/>
      <c r="D53" s="137">
        <f>D43+D46+D48+D50+D52</f>
        <v>202000</v>
      </c>
      <c r="E53" s="137"/>
      <c r="F53" s="140">
        <f>F43+F46+F48+F50+F52</f>
        <v>2244.2275</v>
      </c>
      <c r="G53" s="137"/>
      <c r="H53" s="138"/>
      <c r="I53" s="137"/>
      <c r="J53" s="139">
        <f>J43+J46+J48+J50+J52</f>
        <v>168</v>
      </c>
      <c r="K53" s="139">
        <f>K43+K46+K48+K50+K52</f>
        <v>145</v>
      </c>
      <c r="L53" s="140">
        <f>L43+L46+L48+L50+L52</f>
        <v>110226.42280000001</v>
      </c>
      <c r="M53" s="140">
        <f>M43+M46+M48+M50+M52</f>
        <v>1241.7227828079999</v>
      </c>
      <c r="N53" s="112">
        <f t="shared" si="8"/>
        <v>54.567536039603972</v>
      </c>
      <c r="O53" s="141">
        <f>O43+O46+O48+O50+O52</f>
        <v>83361</v>
      </c>
      <c r="P53" s="141">
        <f>P43+P46+P48+P50+P52</f>
        <v>71681</v>
      </c>
      <c r="Q53" s="140">
        <f>Q43+Q46+Q48+Q50+Q52</f>
        <v>997.88680000000306</v>
      </c>
      <c r="R53" s="140">
        <v>2292.1752000000015</v>
      </c>
      <c r="S53" s="142"/>
    </row>
    <row r="54" spans="1:19" ht="32.25" customHeight="1" thickBot="1">
      <c r="A54" s="101"/>
      <c r="B54" s="594" t="s">
        <v>13</v>
      </c>
      <c r="C54" s="595"/>
      <c r="D54" s="185">
        <f>D39+D53</f>
        <v>4199502</v>
      </c>
      <c r="E54" s="185"/>
      <c r="F54" s="258">
        <f>F39+F53</f>
        <v>25917.573145000002</v>
      </c>
      <c r="G54" s="185"/>
      <c r="H54" s="186"/>
      <c r="I54" s="185"/>
      <c r="J54" s="187">
        <f>J39+J53</f>
        <v>228</v>
      </c>
      <c r="K54" s="187">
        <f>K39+K53</f>
        <v>146</v>
      </c>
      <c r="L54" s="188">
        <f>L39+L53</f>
        <v>110417.15780000002</v>
      </c>
      <c r="M54" s="188">
        <f>M39+M53</f>
        <v>1243.0121514079999</v>
      </c>
      <c r="N54" s="189">
        <f>L54/D54*100</f>
        <v>2.6292917064928178</v>
      </c>
      <c r="O54" s="187">
        <f>O39+O53</f>
        <v>103237</v>
      </c>
      <c r="P54" s="190">
        <f>P39+P53</f>
        <v>71912</v>
      </c>
      <c r="Q54" s="191">
        <f>Q39+Q53</f>
        <v>1014.8868000000031</v>
      </c>
      <c r="R54" s="191">
        <v>2292.1752000000015</v>
      </c>
      <c r="S54" s="192"/>
    </row>
    <row r="55" spans="1:19" ht="56.25" customHeight="1">
      <c r="C55" s="591" t="s">
        <v>28</v>
      </c>
      <c r="D55" s="591"/>
      <c r="E55" s="591"/>
      <c r="F55" s="591"/>
      <c r="Q55" s="29"/>
    </row>
    <row r="56" spans="1:19" ht="32.25" customHeight="1" thickBot="1">
      <c r="C56" s="83" t="s">
        <v>37</v>
      </c>
      <c r="D56" s="74"/>
      <c r="E56" s="74"/>
      <c r="F56" s="74"/>
      <c r="Q56" s="29"/>
    </row>
    <row r="57" spans="1:19" ht="57" customHeight="1" thickBot="1">
      <c r="C57" s="242" t="s">
        <v>0</v>
      </c>
      <c r="D57" s="243" t="s">
        <v>27</v>
      </c>
      <c r="E57" s="244" t="s">
        <v>30</v>
      </c>
      <c r="F57" s="245" t="s">
        <v>31</v>
      </c>
      <c r="G57" s="3"/>
      <c r="H57" s="591" t="s">
        <v>29</v>
      </c>
      <c r="I57" s="591"/>
      <c r="J57" s="591"/>
      <c r="K57" s="591"/>
      <c r="L57" s="591"/>
      <c r="M57" s="591"/>
      <c r="N57" s="591"/>
      <c r="O57" s="591"/>
      <c r="P57" s="591"/>
      <c r="Q57" s="196"/>
      <c r="R57" s="196"/>
    </row>
    <row r="58" spans="1:19" ht="32.25" customHeight="1">
      <c r="C58" s="67" t="s">
        <v>3</v>
      </c>
      <c r="D58" s="76">
        <f>D9+D12+D19+D22+D27+D31+D36</f>
        <v>332741</v>
      </c>
      <c r="E58" s="76">
        <f>E9+E12+E19+E22</f>
        <v>34232</v>
      </c>
      <c r="F58" s="75">
        <f>F9+F12+F19+F22+F27+F31+F36</f>
        <v>2847.5974780000001</v>
      </c>
      <c r="H58" s="23" t="s">
        <v>3</v>
      </c>
      <c r="I58" s="23" t="s">
        <v>3</v>
      </c>
      <c r="J58" s="197">
        <f t="shared" ref="J58:Q58" si="9">J9+J12+J19+J22+J27+J31+J36</f>
        <v>38</v>
      </c>
      <c r="K58" s="197">
        <f t="shared" si="9"/>
        <v>0</v>
      </c>
      <c r="L58" s="19">
        <f t="shared" si="9"/>
        <v>0</v>
      </c>
      <c r="M58" s="19">
        <f t="shared" si="9"/>
        <v>0</v>
      </c>
      <c r="N58" s="19">
        <f t="shared" si="9"/>
        <v>0</v>
      </c>
      <c r="O58" s="197">
        <f t="shared" si="9"/>
        <v>17222</v>
      </c>
      <c r="P58" s="197">
        <f t="shared" si="9"/>
        <v>0</v>
      </c>
      <c r="Q58" s="198">
        <f t="shared" si="9"/>
        <v>0</v>
      </c>
      <c r="R58" s="71">
        <v>0</v>
      </c>
      <c r="S58" s="11"/>
    </row>
    <row r="59" spans="1:19" ht="32.25" customHeight="1">
      <c r="C59" s="24" t="s">
        <v>4</v>
      </c>
      <c r="D59" s="77">
        <f>D10+D13+D23+D28+D32</f>
        <v>497689</v>
      </c>
      <c r="E59" s="77">
        <f>E10+E13+E23</f>
        <v>20850</v>
      </c>
      <c r="F59" s="72">
        <f>F10+F13+F23+F28+F32</f>
        <v>3458.9385499999999</v>
      </c>
      <c r="G59" s="3"/>
      <c r="H59" s="67" t="s">
        <v>4</v>
      </c>
      <c r="I59" s="24" t="s">
        <v>4</v>
      </c>
      <c r="J59" s="84">
        <f t="shared" ref="J59:Q59" si="10">J10+J13+J23+J28</f>
        <v>0</v>
      </c>
      <c r="K59" s="84">
        <f t="shared" si="10"/>
        <v>0</v>
      </c>
      <c r="L59" s="68">
        <f t="shared" si="10"/>
        <v>0</v>
      </c>
      <c r="M59" s="68">
        <f t="shared" si="10"/>
        <v>0</v>
      </c>
      <c r="N59" s="68">
        <f t="shared" si="10"/>
        <v>0</v>
      </c>
      <c r="O59" s="84">
        <f t="shared" si="10"/>
        <v>0</v>
      </c>
      <c r="P59" s="84">
        <f t="shared" si="10"/>
        <v>0</v>
      </c>
      <c r="Q59" s="87">
        <f t="shared" si="10"/>
        <v>0</v>
      </c>
      <c r="R59" s="75">
        <v>0</v>
      </c>
      <c r="S59" s="11"/>
    </row>
    <row r="60" spans="1:19" ht="32.25" customHeight="1" thickBot="1">
      <c r="C60" s="25" t="s">
        <v>14</v>
      </c>
      <c r="D60" s="77"/>
      <c r="E60" s="77">
        <v>7000</v>
      </c>
      <c r="F60" s="72"/>
      <c r="G60" s="3"/>
      <c r="H60" s="25" t="s">
        <v>14</v>
      </c>
      <c r="I60" s="25" t="s">
        <v>14</v>
      </c>
      <c r="J60" s="84"/>
      <c r="K60" s="84"/>
      <c r="L60" s="68"/>
      <c r="M60" s="68"/>
      <c r="N60" s="68" t="e">
        <f>#REF!+#REF!+#REF!+#REF!+#REF!+#REF!+#REF!</f>
        <v>#REF!</v>
      </c>
      <c r="O60" s="84"/>
      <c r="P60" s="84"/>
      <c r="Q60" s="87"/>
      <c r="R60" s="75"/>
      <c r="S60" s="11"/>
    </row>
    <row r="61" spans="1:19" ht="32.25" customHeight="1" thickBot="1">
      <c r="C61" s="15" t="s">
        <v>22</v>
      </c>
      <c r="D61" s="16">
        <f>SUM(D58:D60)</f>
        <v>830430</v>
      </c>
      <c r="E61" s="17"/>
      <c r="F61" s="18">
        <f>SUM(F58:F60)</f>
        <v>6306.5360280000004</v>
      </c>
      <c r="G61" s="3"/>
      <c r="H61" s="82" t="s">
        <v>38</v>
      </c>
      <c r="I61" s="12"/>
      <c r="J61" s="85">
        <f t="shared" ref="J61:Q61" si="11">SUM(J58:J60)</f>
        <v>38</v>
      </c>
      <c r="K61" s="65">
        <f t="shared" si="11"/>
        <v>0</v>
      </c>
      <c r="L61" s="14">
        <f t="shared" si="11"/>
        <v>0</v>
      </c>
      <c r="M61" s="14">
        <f t="shared" si="11"/>
        <v>0</v>
      </c>
      <c r="N61" s="14"/>
      <c r="O61" s="88">
        <f t="shared" si="11"/>
        <v>17222</v>
      </c>
      <c r="P61" s="88">
        <f t="shared" si="11"/>
        <v>0</v>
      </c>
      <c r="Q61" s="89">
        <f t="shared" si="11"/>
        <v>0</v>
      </c>
      <c r="R61" s="30">
        <v>0</v>
      </c>
      <c r="S61" s="11"/>
    </row>
    <row r="62" spans="1:19" ht="32.25" customHeight="1" thickBot="1">
      <c r="C62" s="83" t="s">
        <v>36</v>
      </c>
      <c r="D62" s="7"/>
      <c r="E62" s="7"/>
      <c r="F62" s="8"/>
      <c r="G62" s="3"/>
      <c r="H62" s="246"/>
      <c r="I62" s="7"/>
      <c r="J62" s="7"/>
      <c r="K62" s="8"/>
      <c r="L62" s="246"/>
      <c r="M62" s="8"/>
      <c r="N62" s="7"/>
      <c r="O62" s="8"/>
      <c r="P62" s="246"/>
      <c r="Q62" s="247"/>
      <c r="R62" s="247"/>
      <c r="S62" s="11"/>
    </row>
    <row r="63" spans="1:19" ht="32.25" customHeight="1">
      <c r="C63" s="23" t="s">
        <v>15</v>
      </c>
      <c r="D63" s="78">
        <f>D15+D29+D34+D37</f>
        <v>1617753</v>
      </c>
      <c r="E63" s="78">
        <v>4600</v>
      </c>
      <c r="F63" s="71">
        <f>F15+F29+F34+F37</f>
        <v>7441.6638000000003</v>
      </c>
      <c r="G63" s="21"/>
      <c r="H63" s="23" t="s">
        <v>15</v>
      </c>
      <c r="I63" s="23" t="s">
        <v>15</v>
      </c>
      <c r="J63" s="197">
        <f>J15+J29+J34+J37</f>
        <v>0</v>
      </c>
      <c r="K63" s="197">
        <f t="shared" ref="K63:R63" si="12">K15+K29+K34+K37</f>
        <v>0</v>
      </c>
      <c r="L63" s="19">
        <f t="shared" si="12"/>
        <v>0</v>
      </c>
      <c r="M63" s="19">
        <f t="shared" si="12"/>
        <v>0</v>
      </c>
      <c r="N63" s="19">
        <f t="shared" si="12"/>
        <v>0</v>
      </c>
      <c r="O63" s="197">
        <f t="shared" si="12"/>
        <v>0</v>
      </c>
      <c r="P63" s="197">
        <f t="shared" si="12"/>
        <v>0</v>
      </c>
      <c r="Q63" s="198">
        <f t="shared" si="12"/>
        <v>0</v>
      </c>
      <c r="R63" s="71">
        <f t="shared" si="12"/>
        <v>0</v>
      </c>
      <c r="S63" s="11"/>
    </row>
    <row r="64" spans="1:19" ht="32.25" customHeight="1">
      <c r="C64" s="24" t="s">
        <v>16</v>
      </c>
      <c r="D64" s="77">
        <f>D14+D20+D24+D33</f>
        <v>1507531</v>
      </c>
      <c r="E64" s="77">
        <v>6377</v>
      </c>
      <c r="F64" s="72">
        <f>F14+F20+F24+F33</f>
        <v>9613.5251869999993</v>
      </c>
      <c r="G64" s="21"/>
      <c r="H64" s="24" t="s">
        <v>16</v>
      </c>
      <c r="I64" s="24" t="s">
        <v>16</v>
      </c>
      <c r="J64" s="84">
        <f t="shared" ref="J64:Q64" si="13">J14+J20+J24+J33</f>
        <v>0</v>
      </c>
      <c r="K64" s="84">
        <f t="shared" si="13"/>
        <v>0</v>
      </c>
      <c r="L64" s="68">
        <f t="shared" si="13"/>
        <v>0</v>
      </c>
      <c r="M64" s="68">
        <f t="shared" si="13"/>
        <v>0</v>
      </c>
      <c r="N64" s="68">
        <f t="shared" si="13"/>
        <v>0</v>
      </c>
      <c r="O64" s="84">
        <f t="shared" si="13"/>
        <v>0</v>
      </c>
      <c r="P64" s="84">
        <f t="shared" si="13"/>
        <v>0</v>
      </c>
      <c r="Q64" s="87">
        <f t="shared" si="13"/>
        <v>0</v>
      </c>
      <c r="R64" s="75">
        <v>0</v>
      </c>
      <c r="S64" s="11"/>
    </row>
    <row r="65" spans="3:19" ht="32.25" customHeight="1">
      <c r="C65" s="24" t="s">
        <v>17</v>
      </c>
      <c r="D65" s="77">
        <f>D25</f>
        <v>15538</v>
      </c>
      <c r="E65" s="77">
        <v>8635</v>
      </c>
      <c r="F65" s="72">
        <f>F25</f>
        <v>134.17062999999999</v>
      </c>
      <c r="G65" s="21"/>
      <c r="H65" s="24" t="s">
        <v>17</v>
      </c>
      <c r="I65" s="24" t="s">
        <v>17</v>
      </c>
      <c r="J65" s="84">
        <f>J25</f>
        <v>0</v>
      </c>
      <c r="K65" s="84">
        <f t="shared" ref="K65:Q65" si="14">K25</f>
        <v>0</v>
      </c>
      <c r="L65" s="68">
        <f t="shared" si="14"/>
        <v>0</v>
      </c>
      <c r="M65" s="68">
        <f t="shared" si="14"/>
        <v>0</v>
      </c>
      <c r="N65" s="68">
        <f t="shared" si="14"/>
        <v>0</v>
      </c>
      <c r="O65" s="84">
        <f t="shared" si="14"/>
        <v>0</v>
      </c>
      <c r="P65" s="84">
        <f t="shared" si="14"/>
        <v>0</v>
      </c>
      <c r="Q65" s="87">
        <f t="shared" si="14"/>
        <v>0</v>
      </c>
      <c r="R65" s="75">
        <v>0</v>
      </c>
      <c r="S65" s="11"/>
    </row>
    <row r="66" spans="3:19" ht="32.25" customHeight="1" thickBot="1">
      <c r="C66" s="79" t="s">
        <v>18</v>
      </c>
      <c r="D66" s="80">
        <f>D17</f>
        <v>26250</v>
      </c>
      <c r="E66" s="80">
        <v>6760</v>
      </c>
      <c r="F66" s="81">
        <f>F17</f>
        <v>177.45</v>
      </c>
      <c r="G66" s="21"/>
      <c r="H66" s="79" t="s">
        <v>18</v>
      </c>
      <c r="I66" s="79" t="s">
        <v>18</v>
      </c>
      <c r="J66" s="261">
        <f t="shared" ref="J66:Q66" si="15">J17</f>
        <v>22</v>
      </c>
      <c r="K66" s="261">
        <f t="shared" si="15"/>
        <v>1</v>
      </c>
      <c r="L66" s="262">
        <f t="shared" si="15"/>
        <v>190.73500000000001</v>
      </c>
      <c r="M66" s="262">
        <f t="shared" si="15"/>
        <v>1.2893686000000002</v>
      </c>
      <c r="N66" s="262">
        <f t="shared" si="15"/>
        <v>0.72660952380952393</v>
      </c>
      <c r="O66" s="261">
        <f t="shared" si="15"/>
        <v>2654</v>
      </c>
      <c r="P66" s="261">
        <f t="shared" si="15"/>
        <v>231</v>
      </c>
      <c r="Q66" s="263">
        <f t="shared" si="15"/>
        <v>17</v>
      </c>
      <c r="R66" s="264">
        <v>18.344999999999999</v>
      </c>
      <c r="S66" s="11"/>
    </row>
    <row r="67" spans="3:19" ht="32.25" customHeight="1" thickBot="1">
      <c r="C67" s="82" t="s">
        <v>23</v>
      </c>
      <c r="D67" s="16">
        <f>SUM(D63:D66)</f>
        <v>3167072</v>
      </c>
      <c r="E67" s="17"/>
      <c r="F67" s="18">
        <f>SUM(F63:F66)</f>
        <v>17366.809617000003</v>
      </c>
      <c r="G67" s="21"/>
      <c r="H67" s="15" t="s">
        <v>38</v>
      </c>
      <c r="I67" s="15" t="s">
        <v>38</v>
      </c>
      <c r="J67" s="85">
        <f t="shared" ref="J67:Q67" si="16">SUM(J63:J66)</f>
        <v>22</v>
      </c>
      <c r="K67" s="85">
        <f t="shared" si="16"/>
        <v>1</v>
      </c>
      <c r="L67" s="14">
        <f t="shared" si="16"/>
        <v>190.73500000000001</v>
      </c>
      <c r="M67" s="14">
        <f t="shared" si="16"/>
        <v>1.2893686000000002</v>
      </c>
      <c r="N67" s="14">
        <f t="shared" si="16"/>
        <v>0.72660952380952393</v>
      </c>
      <c r="O67" s="85">
        <f t="shared" si="16"/>
        <v>2654</v>
      </c>
      <c r="P67" s="85">
        <f t="shared" si="16"/>
        <v>231</v>
      </c>
      <c r="Q67" s="89">
        <f t="shared" si="16"/>
        <v>17</v>
      </c>
      <c r="R67" s="177">
        <v>18.344999999999999</v>
      </c>
      <c r="S67" s="11"/>
    </row>
    <row r="68" spans="3:19" ht="32.25" customHeight="1" thickBot="1">
      <c r="C68" s="205"/>
      <c r="D68" s="145"/>
      <c r="E68" s="145"/>
      <c r="F68" s="168"/>
      <c r="G68" s="169"/>
      <c r="H68" s="248"/>
      <c r="I68" s="249"/>
      <c r="J68" s="250"/>
      <c r="K68" s="250"/>
      <c r="L68" s="251"/>
      <c r="M68" s="251"/>
      <c r="N68" s="251"/>
      <c r="O68" s="250"/>
      <c r="P68" s="250"/>
      <c r="Q68" s="252"/>
      <c r="R68" s="253"/>
      <c r="S68" s="11"/>
    </row>
    <row r="69" spans="3:19" ht="32.25" customHeight="1" thickBot="1">
      <c r="C69" s="203" t="s">
        <v>91</v>
      </c>
      <c r="D69" s="204"/>
      <c r="E69" s="146"/>
      <c r="F69" s="147"/>
      <c r="G69" s="21"/>
      <c r="H69" s="148"/>
      <c r="I69" s="149"/>
      <c r="J69" s="149"/>
      <c r="K69" s="150"/>
      <c r="L69" s="148"/>
      <c r="M69" s="150"/>
      <c r="N69" s="149"/>
      <c r="O69" s="150"/>
      <c r="P69" s="148"/>
      <c r="Q69" s="151"/>
      <c r="R69" s="151"/>
      <c r="S69" s="11"/>
    </row>
    <row r="70" spans="3:19" ht="32.25" customHeight="1">
      <c r="C70" s="199" t="s">
        <v>102</v>
      </c>
      <c r="D70" s="200">
        <f>D42+D45</f>
        <v>56750</v>
      </c>
      <c r="E70" s="201">
        <v>11750</v>
      </c>
      <c r="F70" s="71">
        <f>F42+F45</f>
        <v>666.8125</v>
      </c>
      <c r="G70" s="21"/>
      <c r="H70" s="152" t="s">
        <v>92</v>
      </c>
      <c r="I70" s="152" t="s">
        <v>92</v>
      </c>
      <c r="J70" s="174">
        <f t="shared" ref="J70:Q70" si="17">J42+J45</f>
        <v>26</v>
      </c>
      <c r="K70" s="174">
        <f t="shared" si="17"/>
        <v>26</v>
      </c>
      <c r="L70" s="19">
        <f t="shared" si="17"/>
        <v>50184.08</v>
      </c>
      <c r="M70" s="19">
        <f t="shared" si="17"/>
        <v>589.66294000000005</v>
      </c>
      <c r="N70" s="175">
        <f t="shared" si="17"/>
        <v>91.660420091324198</v>
      </c>
      <c r="O70" s="174">
        <f t="shared" si="17"/>
        <v>37632</v>
      </c>
      <c r="P70" s="174">
        <f t="shared" si="17"/>
        <v>35235</v>
      </c>
      <c r="Q70" s="153">
        <f t="shared" si="17"/>
        <v>0</v>
      </c>
      <c r="R70" s="154">
        <v>0</v>
      </c>
      <c r="S70" s="11"/>
    </row>
    <row r="71" spans="3:19" ht="32.25" customHeight="1" thickBot="1">
      <c r="C71" s="155" t="s">
        <v>103</v>
      </c>
      <c r="D71" s="156">
        <f>D44+D47+D49+D51</f>
        <v>145250</v>
      </c>
      <c r="E71" s="157">
        <v>10860</v>
      </c>
      <c r="F71" s="202">
        <f>F44+F47+F49+F51</f>
        <v>1577.415</v>
      </c>
      <c r="G71" s="21"/>
      <c r="H71" s="159" t="s">
        <v>94</v>
      </c>
      <c r="I71" s="160"/>
      <c r="J71" s="171">
        <f t="shared" ref="J71:Q71" si="18">J44+J47+J49+J51</f>
        <v>142</v>
      </c>
      <c r="K71" s="171">
        <f t="shared" si="18"/>
        <v>119</v>
      </c>
      <c r="L71" s="158">
        <f t="shared" si="18"/>
        <v>60042.342800000006</v>
      </c>
      <c r="M71" s="158">
        <f t="shared" si="18"/>
        <v>652.0598428080001</v>
      </c>
      <c r="N71" s="170">
        <f t="shared" si="18"/>
        <v>71.551907319696966</v>
      </c>
      <c r="O71" s="171">
        <f t="shared" si="18"/>
        <v>45729</v>
      </c>
      <c r="P71" s="171">
        <f t="shared" si="18"/>
        <v>36446</v>
      </c>
      <c r="Q71" s="172">
        <f t="shared" si="18"/>
        <v>997.88680000000306</v>
      </c>
      <c r="R71" s="176">
        <v>35.670999999994365</v>
      </c>
      <c r="S71" s="11"/>
    </row>
    <row r="72" spans="3:19" ht="32.25" customHeight="1" thickBot="1">
      <c r="C72" s="259" t="s">
        <v>104</v>
      </c>
      <c r="D72" s="161">
        <f>SUM(D70:D71)</f>
        <v>202000</v>
      </c>
      <c r="E72" s="12"/>
      <c r="F72" s="162">
        <f>SUM(F70:F71)</f>
        <v>2244.2275</v>
      </c>
      <c r="G72" s="21"/>
      <c r="H72" s="15" t="s">
        <v>38</v>
      </c>
      <c r="I72" s="12"/>
      <c r="J72" s="85">
        <f>SUM(J70:J71)</f>
        <v>168</v>
      </c>
      <c r="K72" s="85">
        <f t="shared" ref="K72:P72" si="19">SUM(K70:K71)</f>
        <v>145</v>
      </c>
      <c r="L72" s="14">
        <f t="shared" si="19"/>
        <v>110226.4228</v>
      </c>
      <c r="M72" s="14">
        <f>SUM(M70:M71)</f>
        <v>1241.7227828080001</v>
      </c>
      <c r="N72" s="14">
        <f t="shared" si="19"/>
        <v>163.21232741102116</v>
      </c>
      <c r="O72" s="85">
        <f t="shared" si="19"/>
        <v>83361</v>
      </c>
      <c r="P72" s="85">
        <f t="shared" si="19"/>
        <v>71681</v>
      </c>
      <c r="Q72" s="89">
        <f>SUM(Q70:Q71)</f>
        <v>997.88680000000306</v>
      </c>
      <c r="R72" s="177">
        <v>35.670999999994365</v>
      </c>
    </row>
    <row r="73" spans="3:19" ht="32.25" customHeight="1" thickBot="1">
      <c r="C73" s="148"/>
      <c r="D73" s="149"/>
      <c r="E73" s="149"/>
      <c r="F73" s="150"/>
      <c r="G73" s="163"/>
      <c r="H73" s="148"/>
      <c r="I73" s="149"/>
      <c r="J73" s="149"/>
      <c r="K73" s="150"/>
      <c r="L73" s="148"/>
      <c r="M73" s="150"/>
      <c r="N73" s="149"/>
      <c r="O73" s="164"/>
      <c r="P73" s="165"/>
      <c r="Q73" s="166"/>
      <c r="R73" s="166"/>
    </row>
    <row r="74" spans="3:19" ht="32.25" customHeight="1" thickBot="1">
      <c r="C74" s="13" t="s">
        <v>13</v>
      </c>
      <c r="D74" s="20">
        <f>D67+D61+D72</f>
        <v>4199502</v>
      </c>
      <c r="E74" s="20">
        <f>E67+E61+E72</f>
        <v>0</v>
      </c>
      <c r="F74" s="32">
        <f>F67+F61+F72</f>
        <v>25917.573145000002</v>
      </c>
      <c r="G74" s="22"/>
      <c r="H74" s="13" t="s">
        <v>13</v>
      </c>
      <c r="I74" s="12" t="s">
        <v>13</v>
      </c>
      <c r="J74" s="167">
        <f>J67+J61+J72</f>
        <v>228</v>
      </c>
      <c r="K74" s="167">
        <f t="shared" ref="K74:Q74" si="20">K67+K61+K72</f>
        <v>146</v>
      </c>
      <c r="L74" s="184">
        <f>L67+L61+L72</f>
        <v>110417.1578</v>
      </c>
      <c r="M74" s="184">
        <f t="shared" si="20"/>
        <v>1243.0121514080001</v>
      </c>
      <c r="N74" s="167">
        <f t="shared" si="20"/>
        <v>163.93893693483068</v>
      </c>
      <c r="O74" s="167">
        <f t="shared" si="20"/>
        <v>103237</v>
      </c>
      <c r="P74" s="167">
        <f t="shared" si="20"/>
        <v>71912</v>
      </c>
      <c r="Q74" s="89">
        <f t="shared" si="20"/>
        <v>1014.8868000000031</v>
      </c>
      <c r="R74" s="89">
        <v>54.015999999994364</v>
      </c>
    </row>
    <row r="75" spans="3:19" ht="32.25" customHeight="1">
      <c r="G75" s="3"/>
      <c r="Q75" s="29"/>
    </row>
    <row r="76" spans="3:19" ht="32.25" customHeight="1">
      <c r="G76" s="3"/>
      <c r="Q76" s="29"/>
    </row>
    <row r="77" spans="3:19" ht="32.25" customHeight="1">
      <c r="G77" s="26"/>
      <c r="Q77" s="29"/>
    </row>
    <row r="78" spans="3:19" ht="32.25" customHeight="1">
      <c r="G78" s="3"/>
      <c r="H78" s="3"/>
    </row>
    <row r="79" spans="3:19" ht="32.25" customHeight="1">
      <c r="G79" s="3"/>
      <c r="J79" s="3"/>
      <c r="L79" s="11"/>
    </row>
    <row r="80" spans="3:19" ht="32.25" customHeight="1">
      <c r="G80" s="3"/>
      <c r="H80" s="3"/>
    </row>
    <row r="81" spans="7:12" ht="32.25" customHeight="1">
      <c r="G81" s="3"/>
      <c r="H81" s="26"/>
      <c r="L81" s="11"/>
    </row>
    <row r="82" spans="7:12" ht="32.25" customHeight="1">
      <c r="G82" s="3"/>
      <c r="H82" s="3"/>
    </row>
    <row r="83" spans="7:12" ht="32.25" customHeight="1">
      <c r="G83" s="3"/>
      <c r="H83" s="3"/>
    </row>
    <row r="84" spans="7:12" ht="32.25" customHeight="1"/>
    <row r="85" spans="7:12" ht="32.25" customHeight="1">
      <c r="G85" s="3"/>
    </row>
    <row r="86" spans="7:12" ht="32.25" customHeight="1"/>
    <row r="87" spans="7:12" ht="32.25" customHeight="1">
      <c r="G87" s="3"/>
    </row>
    <row r="88" spans="7:12" ht="32.25" customHeight="1">
      <c r="G88" s="26"/>
      <c r="J88" s="3"/>
    </row>
    <row r="89" spans="7:12" ht="32.25" customHeight="1">
      <c r="G89" s="3"/>
    </row>
    <row r="90" spans="7:12" ht="32.25" customHeight="1">
      <c r="G90" s="3"/>
    </row>
    <row r="91" spans="7:12" ht="32.25" customHeight="1"/>
    <row r="92" spans="7:12" ht="32.25" customHeight="1">
      <c r="G92" s="3"/>
    </row>
    <row r="93" spans="7:12" ht="32.25" customHeight="1"/>
    <row r="94" spans="7:12" ht="32.25" customHeight="1"/>
    <row r="95" spans="7:12" ht="32.25" customHeight="1"/>
    <row r="96" spans="7:12" ht="32.25" customHeight="1"/>
    <row r="97" ht="32.25" customHeight="1"/>
    <row r="98" ht="32.25" customHeight="1"/>
    <row r="99" ht="32.25" customHeight="1"/>
    <row r="100" ht="32.25" customHeight="1"/>
    <row r="101" ht="32.25" customHeight="1"/>
    <row r="102" ht="32.25" customHeight="1"/>
    <row r="103" ht="32.25" customHeight="1"/>
    <row r="104" ht="32.25" customHeight="1"/>
    <row r="105" ht="32.25" customHeight="1"/>
    <row r="106" ht="32.25" customHeight="1"/>
    <row r="107" ht="32.25" customHeight="1"/>
    <row r="108" ht="32.25" customHeight="1"/>
    <row r="109" ht="32.25" customHeight="1"/>
    <row r="110" ht="32.25" customHeight="1"/>
    <row r="111" ht="32.25" customHeight="1"/>
    <row r="112" ht="32.25" customHeight="1"/>
    <row r="113" ht="32.25" customHeight="1"/>
    <row r="114" ht="32.25" customHeight="1"/>
    <row r="115" ht="32.25" customHeight="1"/>
    <row r="116" ht="32.25" customHeight="1"/>
    <row r="117" ht="32.25" customHeight="1"/>
    <row r="118" ht="32.25" customHeight="1"/>
    <row r="119" ht="32.25" customHeight="1"/>
    <row r="120" ht="32.25" customHeight="1"/>
    <row r="121" ht="32.25" customHeight="1"/>
    <row r="122" ht="32.25" customHeight="1"/>
    <row r="123" ht="32.25" customHeight="1"/>
    <row r="124" ht="32.25" customHeight="1"/>
    <row r="125" ht="32.25" customHeight="1"/>
    <row r="126" ht="32.25" customHeight="1"/>
    <row r="127" ht="32.25" customHeight="1"/>
    <row r="128" ht="32.25" customHeight="1"/>
    <row r="129" ht="32.25" customHeight="1"/>
    <row r="130" ht="32.25" customHeight="1"/>
    <row r="131" ht="32.25" customHeight="1"/>
    <row r="132" ht="32.25" customHeight="1"/>
    <row r="133" ht="32.25" customHeight="1"/>
    <row r="134" ht="32.25" customHeight="1"/>
    <row r="135" ht="32.25" customHeight="1"/>
    <row r="136" ht="32.25" customHeight="1"/>
    <row r="137" ht="32.25" customHeight="1"/>
    <row r="138" ht="32.25" customHeight="1"/>
    <row r="139" ht="32.25" customHeight="1"/>
    <row r="140" ht="32.25" customHeight="1"/>
    <row r="141" ht="32.25" customHeight="1"/>
    <row r="142" ht="32.25" customHeight="1"/>
    <row r="143" ht="32.25" customHeight="1"/>
    <row r="144" ht="32.25" customHeight="1"/>
    <row r="145" ht="32.25" customHeight="1"/>
    <row r="146" ht="32.25" customHeight="1"/>
    <row r="147" ht="32.25" customHeight="1"/>
    <row r="148" ht="32.25" customHeight="1"/>
    <row r="149" ht="32.25" customHeight="1"/>
    <row r="150" ht="32.25" customHeight="1"/>
    <row r="151" ht="32.25" customHeight="1"/>
    <row r="152" ht="32.25" customHeight="1"/>
    <row r="153" ht="32.25" customHeight="1"/>
    <row r="154" ht="32.25" customHeight="1"/>
    <row r="155" ht="32.25" customHeight="1"/>
    <row r="156" ht="32.25" customHeight="1"/>
    <row r="157" ht="32.25" customHeight="1"/>
    <row r="158" ht="32.25" customHeight="1"/>
    <row r="159" ht="32.25" customHeight="1"/>
    <row r="160" ht="32.25" customHeight="1"/>
    <row r="161" ht="32.25" customHeight="1"/>
    <row r="162" ht="32.25" customHeight="1"/>
    <row r="163" ht="32.25" customHeight="1"/>
    <row r="164" ht="32.25" customHeight="1"/>
    <row r="165" ht="32.25" customHeight="1"/>
    <row r="166" ht="32.25" customHeight="1"/>
    <row r="167" ht="32.25" customHeight="1"/>
    <row r="168" ht="32.25" customHeight="1"/>
    <row r="169" ht="32.25" customHeight="1"/>
    <row r="170" ht="32.25" customHeight="1"/>
    <row r="171" ht="32.25" customHeight="1"/>
    <row r="172" ht="32.25" customHeight="1"/>
    <row r="173" ht="32.25" customHeight="1"/>
    <row r="174" ht="32.25" customHeight="1"/>
    <row r="175" ht="32.25" customHeight="1"/>
    <row r="176" ht="32.25" customHeight="1"/>
    <row r="177" ht="32.25" customHeight="1"/>
    <row r="178" ht="32.25" customHeight="1"/>
    <row r="179" ht="32.25" customHeight="1"/>
    <row r="180" ht="32.25" customHeight="1"/>
    <row r="181" ht="32.25" customHeight="1"/>
    <row r="182" ht="32.25" customHeight="1"/>
    <row r="183" ht="32.25" customHeight="1"/>
    <row r="184" ht="32.25" customHeight="1"/>
    <row r="185" ht="32.25" customHeight="1"/>
    <row r="186" ht="32.25" customHeight="1"/>
    <row r="187" ht="32.25" customHeight="1"/>
    <row r="188" ht="32.25" customHeight="1"/>
    <row r="189" ht="32.25" customHeight="1"/>
    <row r="190" ht="32.25" customHeight="1"/>
    <row r="191" ht="32.25" customHeight="1"/>
    <row r="192" ht="32.25" customHeight="1"/>
    <row r="193" ht="32.25" customHeight="1"/>
    <row r="194" ht="32.25" customHeight="1"/>
    <row r="195" ht="32.25" customHeight="1"/>
    <row r="196" ht="32.25" customHeight="1"/>
    <row r="197" ht="32.25" customHeight="1"/>
    <row r="198" ht="32.25" customHeight="1"/>
    <row r="199" ht="32.25" customHeight="1"/>
    <row r="200" ht="32.25" customHeight="1"/>
    <row r="201" ht="32.25" customHeight="1"/>
    <row r="202" ht="32.25" customHeight="1"/>
    <row r="203" ht="32.25" customHeight="1"/>
    <row r="204" ht="32.25" customHeight="1"/>
    <row r="205" ht="32.25" customHeight="1"/>
    <row r="206" ht="32.25" customHeight="1"/>
    <row r="207" ht="32.25" customHeight="1"/>
    <row r="208" ht="32.25" customHeight="1"/>
    <row r="209" ht="32.25" customHeight="1"/>
    <row r="210" ht="32.25" customHeight="1"/>
    <row r="211" ht="32.25" customHeight="1"/>
    <row r="212" ht="32.25" customHeight="1"/>
    <row r="213" ht="32.25" customHeight="1"/>
    <row r="214" ht="32.25" customHeight="1"/>
    <row r="215" ht="32.25" customHeight="1"/>
    <row r="216" ht="32.25" customHeight="1"/>
    <row r="217" ht="32.25" customHeight="1"/>
    <row r="218" ht="32.25" customHeight="1"/>
    <row r="219" ht="32.25" customHeight="1"/>
    <row r="220" ht="32.25" customHeight="1"/>
    <row r="221" ht="32.25" customHeight="1"/>
    <row r="222" ht="32.25" customHeight="1"/>
    <row r="223" ht="32.25" customHeight="1"/>
    <row r="224" ht="32.25" customHeight="1"/>
    <row r="225" ht="32.25" customHeight="1"/>
    <row r="226" ht="32.25" customHeight="1"/>
    <row r="227" ht="32.25" customHeight="1"/>
    <row r="228" ht="32.25" customHeight="1"/>
    <row r="229" ht="32.25" customHeight="1"/>
    <row r="230" ht="32.25" customHeight="1"/>
    <row r="231" ht="32.25" customHeight="1"/>
  </sheetData>
  <mergeCells count="61">
    <mergeCell ref="D6:D8"/>
    <mergeCell ref="L7:L8"/>
    <mergeCell ref="J6:J8"/>
    <mergeCell ref="G9:G10"/>
    <mergeCell ref="K6:K8"/>
    <mergeCell ref="I6:I8"/>
    <mergeCell ref="H6:H8"/>
    <mergeCell ref="Q6:Q8"/>
    <mergeCell ref="N6:N8"/>
    <mergeCell ref="A2:S2"/>
    <mergeCell ref="B4:S4"/>
    <mergeCell ref="R6:R8"/>
    <mergeCell ref="L6:M6"/>
    <mergeCell ref="C6:C8"/>
    <mergeCell ref="M7:M8"/>
    <mergeCell ref="P6:P8"/>
    <mergeCell ref="S6:S8"/>
    <mergeCell ref="O6:O8"/>
    <mergeCell ref="G6:G8"/>
    <mergeCell ref="B3:P3"/>
    <mergeCell ref="E6:E8"/>
    <mergeCell ref="A6:A8"/>
    <mergeCell ref="B6:B8"/>
    <mergeCell ref="A5:B5"/>
    <mergeCell ref="F6:F8"/>
    <mergeCell ref="H57:P57"/>
    <mergeCell ref="B39:C39"/>
    <mergeCell ref="B54:C54"/>
    <mergeCell ref="C55:F55"/>
    <mergeCell ref="A41:C41"/>
    <mergeCell ref="A42:A43"/>
    <mergeCell ref="B42:B43"/>
    <mergeCell ref="B47:B48"/>
    <mergeCell ref="A49:A50"/>
    <mergeCell ref="B49:B50"/>
    <mergeCell ref="A51:A52"/>
    <mergeCell ref="B51:B52"/>
    <mergeCell ref="G51:G52"/>
    <mergeCell ref="A44:A46"/>
    <mergeCell ref="B44:B46"/>
    <mergeCell ref="A47:A48"/>
    <mergeCell ref="A9:A11"/>
    <mergeCell ref="A17:A18"/>
    <mergeCell ref="B17:B18"/>
    <mergeCell ref="A19:A21"/>
    <mergeCell ref="B19:B21"/>
    <mergeCell ref="A12:A16"/>
    <mergeCell ref="B12:B16"/>
    <mergeCell ref="B9:B11"/>
    <mergeCell ref="G36:G38"/>
    <mergeCell ref="A31:A35"/>
    <mergeCell ref="B31:B35"/>
    <mergeCell ref="S22:S25"/>
    <mergeCell ref="A22:A26"/>
    <mergeCell ref="B22:B26"/>
    <mergeCell ref="A27:A30"/>
    <mergeCell ref="B27:B30"/>
    <mergeCell ref="G27:G29"/>
    <mergeCell ref="G31:G34"/>
    <mergeCell ref="A36:A38"/>
    <mergeCell ref="B36:B38"/>
  </mergeCells>
  <pageMargins left="0.21" right="0.16" top="0.26" bottom="0.27" header="0.22" footer="0.15748031496062992"/>
  <pageSetup paperSize="9" scale="40" fitToHeight="3" orientation="landscape" r:id="rId1"/>
  <ignoredErrors>
    <ignoredError sqref="F11" formula="1"/>
  </ignoredErrors>
</worksheet>
</file>

<file path=xl/worksheets/sheet10.xml><?xml version="1.0" encoding="utf-8"?>
<worksheet xmlns="http://schemas.openxmlformats.org/spreadsheetml/2006/main" xmlns:r="http://schemas.openxmlformats.org/officeDocument/2006/relationships">
  <sheetPr>
    <pageSetUpPr fitToPage="1"/>
  </sheetPr>
  <dimension ref="B1:P13"/>
  <sheetViews>
    <sheetView zoomScale="70" zoomScaleNormal="70" zoomScaleSheetLayoutView="85" workbookViewId="0">
      <selection activeCell="B2" sqref="B2:M12"/>
    </sheetView>
  </sheetViews>
  <sheetFormatPr defaultColWidth="9.140625" defaultRowHeight="15"/>
  <cols>
    <col min="1" max="1" width="9.140625" style="1"/>
    <col min="2" max="2" width="7" style="1" customWidth="1"/>
    <col min="3" max="3" width="18.5703125" style="1" customWidth="1"/>
    <col min="4" max="4" width="26" style="1" customWidth="1"/>
    <col min="5" max="5" width="19" style="1" customWidth="1"/>
    <col min="6" max="6" width="17.85546875" style="1" customWidth="1"/>
    <col min="7" max="7" width="20.140625" style="1" customWidth="1"/>
    <col min="8" max="8" width="15.28515625" style="1" hidden="1" customWidth="1"/>
    <col min="9" max="9" width="19.42578125" style="1" hidden="1" customWidth="1"/>
    <col min="10" max="10" width="34.28515625" style="1" hidden="1" customWidth="1"/>
    <col min="11" max="11" width="14.28515625" style="1" customWidth="1"/>
    <col min="12" max="12" width="15.85546875" style="441" hidden="1" customWidth="1"/>
    <col min="13" max="13" width="14.42578125" style="420" hidden="1" customWidth="1"/>
    <col min="14" max="14" width="5.140625" style="420" customWidth="1"/>
    <col min="15" max="15" width="16.7109375" style="1" customWidth="1"/>
    <col min="16" max="16" width="20.28515625" style="1" customWidth="1"/>
    <col min="17" max="17" width="10.5703125" style="1" bestFit="1" customWidth="1"/>
    <col min="18" max="16384" width="9.140625" style="1"/>
  </cols>
  <sheetData>
    <row r="1" spans="2:16" ht="19.5" customHeight="1">
      <c r="D1" s="528"/>
      <c r="E1" s="528"/>
      <c r="F1" s="528"/>
    </row>
    <row r="2" spans="2:16" ht="33" customHeight="1">
      <c r="B2" s="672" t="s">
        <v>237</v>
      </c>
      <c r="C2" s="672"/>
      <c r="D2" s="672"/>
      <c r="E2" s="672"/>
      <c r="F2" s="672"/>
      <c r="G2" s="672"/>
      <c r="H2" s="672"/>
      <c r="I2" s="672"/>
      <c r="J2" s="672"/>
      <c r="K2" s="672"/>
      <c r="L2" s="672"/>
      <c r="M2" s="672"/>
      <c r="N2" s="421"/>
    </row>
    <row r="3" spans="2:16" ht="24.75" customHeight="1" thickBot="1">
      <c r="B3" s="493" t="s">
        <v>255</v>
      </c>
      <c r="C3" s="493"/>
      <c r="D3" s="493"/>
      <c r="G3" s="724" t="s">
        <v>136</v>
      </c>
      <c r="H3" s="724"/>
      <c r="I3" s="724"/>
      <c r="J3" s="724"/>
      <c r="K3" s="724"/>
      <c r="M3" s="422"/>
      <c r="N3" s="422"/>
    </row>
    <row r="4" spans="2:16" ht="73.5" customHeight="1" thickBot="1">
      <c r="B4" s="457" t="s">
        <v>132</v>
      </c>
      <c r="C4" s="244" t="s">
        <v>0</v>
      </c>
      <c r="D4" s="458" t="s">
        <v>1</v>
      </c>
      <c r="E4" s="244" t="s">
        <v>238</v>
      </c>
      <c r="F4" s="459" t="s">
        <v>256</v>
      </c>
      <c r="G4" s="460" t="s">
        <v>250</v>
      </c>
      <c r="H4" s="460" t="s">
        <v>24</v>
      </c>
      <c r="I4" s="461" t="s">
        <v>230</v>
      </c>
      <c r="J4" s="460" t="s">
        <v>88</v>
      </c>
      <c r="K4" s="462" t="s">
        <v>138</v>
      </c>
      <c r="L4" s="456" t="s">
        <v>189</v>
      </c>
      <c r="M4" s="411" t="s">
        <v>191</v>
      </c>
      <c r="N4" s="412"/>
      <c r="O4" s="491"/>
      <c r="P4" s="491"/>
    </row>
    <row r="5" spans="2:16" ht="25.5" customHeight="1" thickBot="1">
      <c r="B5" s="712" t="s">
        <v>201</v>
      </c>
      <c r="C5" s="712"/>
      <c r="D5" s="468"/>
      <c r="E5" s="413"/>
      <c r="F5" s="432"/>
      <c r="G5" s="432"/>
      <c r="H5" s="413"/>
      <c r="I5" s="432"/>
      <c r="J5" s="469"/>
      <c r="K5" s="432"/>
      <c r="L5" s="467"/>
      <c r="M5" s="431"/>
      <c r="N5" s="416"/>
      <c r="P5" s="492"/>
    </row>
    <row r="6" spans="2:16" ht="66" customHeight="1">
      <c r="B6" s="692">
        <v>1</v>
      </c>
      <c r="C6" s="696" t="s">
        <v>207</v>
      </c>
      <c r="D6" s="500" t="s">
        <v>86</v>
      </c>
      <c r="E6" s="34">
        <v>103315</v>
      </c>
      <c r="F6" s="507">
        <f>O6</f>
        <v>11.799999999999997</v>
      </c>
      <c r="G6" s="508">
        <f>787.5/10</f>
        <v>78.75</v>
      </c>
      <c r="H6" s="503">
        <v>60</v>
      </c>
      <c r="I6" s="509">
        <v>0</v>
      </c>
      <c r="J6" s="516" t="s">
        <v>209</v>
      </c>
      <c r="K6" s="517">
        <f t="shared" ref="K6:K11" si="0">G6*4892/1000000</f>
        <v>0.385245</v>
      </c>
      <c r="L6" s="444"/>
      <c r="M6" s="489"/>
      <c r="N6" s="417"/>
      <c r="O6" s="465">
        <f t="shared" ref="O6:O11" si="1">G6-P6</f>
        <v>11.799999999999997</v>
      </c>
      <c r="P6" s="488">
        <v>66.95</v>
      </c>
    </row>
    <row r="7" spans="2:16" ht="66" customHeight="1">
      <c r="B7" s="693"/>
      <c r="C7" s="697"/>
      <c r="D7" s="501" t="s">
        <v>236</v>
      </c>
      <c r="E7" s="530">
        <v>59508</v>
      </c>
      <c r="F7" s="510">
        <f t="shared" ref="F7:F9" si="2">O7</f>
        <v>394.44000000000233</v>
      </c>
      <c r="G7" s="511">
        <v>21549.49</v>
      </c>
      <c r="H7" s="504">
        <v>12170</v>
      </c>
      <c r="I7" s="512">
        <v>6082.25</v>
      </c>
      <c r="J7" s="531" t="s">
        <v>216</v>
      </c>
      <c r="K7" s="519">
        <f t="shared" si="0"/>
        <v>105.42010508000001</v>
      </c>
      <c r="L7" s="444"/>
      <c r="M7" s="489"/>
      <c r="N7" s="417"/>
      <c r="O7" s="465">
        <f t="shared" si="1"/>
        <v>394.44000000000233</v>
      </c>
      <c r="P7" s="488">
        <v>21155.05</v>
      </c>
    </row>
    <row r="8" spans="2:16" ht="66" customHeight="1">
      <c r="B8" s="693"/>
      <c r="C8" s="697"/>
      <c r="D8" s="501" t="s">
        <v>151</v>
      </c>
      <c r="E8" s="530">
        <v>1368045</v>
      </c>
      <c r="F8" s="510">
        <f t="shared" si="2"/>
        <v>0</v>
      </c>
      <c r="G8" s="511">
        <v>6499.37</v>
      </c>
      <c r="H8" s="504">
        <v>2135</v>
      </c>
      <c r="I8" s="512"/>
      <c r="J8" s="531" t="s">
        <v>210</v>
      </c>
      <c r="K8" s="519">
        <f t="shared" si="0"/>
        <v>31.794918039999999</v>
      </c>
      <c r="L8" s="444"/>
      <c r="M8" s="489"/>
      <c r="N8" s="417"/>
      <c r="O8" s="465">
        <f t="shared" si="1"/>
        <v>0</v>
      </c>
      <c r="P8" s="488">
        <v>6499.37</v>
      </c>
    </row>
    <row r="9" spans="2:16" ht="66" customHeight="1">
      <c r="B9" s="693"/>
      <c r="C9" s="697"/>
      <c r="D9" s="501" t="s">
        <v>127</v>
      </c>
      <c r="E9" s="530">
        <v>1308238</v>
      </c>
      <c r="F9" s="510">
        <f t="shared" si="2"/>
        <v>495.72429999999986</v>
      </c>
      <c r="G9" s="511">
        <v>2808.9690000000001</v>
      </c>
      <c r="H9" s="504">
        <v>849</v>
      </c>
      <c r="I9" s="512">
        <v>769.46799999999996</v>
      </c>
      <c r="J9" s="520" t="s">
        <v>213</v>
      </c>
      <c r="K9" s="519">
        <f t="shared" si="0"/>
        <v>13.741476348000001</v>
      </c>
      <c r="L9" s="444"/>
      <c r="M9" s="489"/>
      <c r="N9" s="417"/>
      <c r="O9" s="465">
        <f t="shared" si="1"/>
        <v>495.72429999999986</v>
      </c>
      <c r="P9" s="488">
        <v>2313.2447000000002</v>
      </c>
    </row>
    <row r="10" spans="2:16" ht="66" customHeight="1">
      <c r="B10" s="694"/>
      <c r="C10" s="698"/>
      <c r="D10" s="501" t="s">
        <v>126</v>
      </c>
      <c r="E10" s="530">
        <v>292465</v>
      </c>
      <c r="F10" s="510">
        <f>O10</f>
        <v>3</v>
      </c>
      <c r="G10" s="511">
        <v>731</v>
      </c>
      <c r="H10" s="504">
        <v>283</v>
      </c>
      <c r="I10" s="512"/>
      <c r="J10" s="520" t="s">
        <v>226</v>
      </c>
      <c r="K10" s="519">
        <f t="shared" si="0"/>
        <v>3.5760519999999998</v>
      </c>
      <c r="L10" s="444"/>
      <c r="M10" s="489"/>
      <c r="N10" s="417"/>
      <c r="O10" s="465">
        <f t="shared" si="1"/>
        <v>3</v>
      </c>
      <c r="P10" s="488">
        <v>728</v>
      </c>
    </row>
    <row r="11" spans="2:16" ht="66" customHeight="1" thickBot="1">
      <c r="B11" s="694"/>
      <c r="C11" s="698"/>
      <c r="D11" s="502" t="s">
        <v>90</v>
      </c>
      <c r="E11" s="529">
        <v>92045</v>
      </c>
      <c r="F11" s="510">
        <f t="shared" ref="F11" si="3">O11</f>
        <v>0</v>
      </c>
      <c r="G11" s="513"/>
      <c r="H11" s="505"/>
      <c r="I11" s="513">
        <v>111.5</v>
      </c>
      <c r="J11" s="531" t="s">
        <v>223</v>
      </c>
      <c r="K11" s="519">
        <f t="shared" si="0"/>
        <v>0</v>
      </c>
      <c r="L11" s="470"/>
      <c r="M11" s="471"/>
      <c r="N11" s="416"/>
      <c r="O11" s="465">
        <f t="shared" si="1"/>
        <v>0</v>
      </c>
      <c r="P11" s="423"/>
    </row>
    <row r="12" spans="2:16" ht="66" customHeight="1" thickBot="1">
      <c r="B12" s="695"/>
      <c r="C12" s="699"/>
      <c r="D12" s="514" t="s">
        <v>6</v>
      </c>
      <c r="E12" s="506">
        <f>SUM(E6:E11)</f>
        <v>3223616</v>
      </c>
      <c r="F12" s="515">
        <f>SUM(F6:F11)</f>
        <v>904.96430000000214</v>
      </c>
      <c r="G12" s="515">
        <f t="shared" ref="G12" si="4">SUM(G6:G11)</f>
        <v>31667.579000000002</v>
      </c>
      <c r="H12" s="506">
        <f>SUM(H6:H11)</f>
        <v>15497</v>
      </c>
      <c r="I12" s="515">
        <f>SUM(I6:I11)</f>
        <v>6963.2179999999998</v>
      </c>
      <c r="J12" s="473"/>
      <c r="K12" s="521">
        <f>SUM(K6:K11)</f>
        <v>154.91779646800001</v>
      </c>
      <c r="L12" s="454"/>
      <c r="M12" s="452"/>
      <c r="N12" s="416"/>
      <c r="O12" s="449"/>
      <c r="P12" s="265">
        <v>0</v>
      </c>
    </row>
    <row r="13" spans="2:16" ht="38.25" hidden="1" customHeight="1">
      <c r="E13" s="11"/>
    </row>
  </sheetData>
  <mergeCells count="5">
    <mergeCell ref="G3:K3"/>
    <mergeCell ref="B2:M2"/>
    <mergeCell ref="B5:C5"/>
    <mergeCell ref="B6:B12"/>
    <mergeCell ref="C6:C12"/>
  </mergeCells>
  <printOptions horizontalCentered="1"/>
  <pageMargins left="0.43307086614173229" right="0.23622047244094491" top="0.79" bottom="0.47244094488188981" header="0.15748031496062992" footer="0.47244094488188981"/>
  <pageSetup paperSize="9" scale="75"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B1:L58"/>
  <sheetViews>
    <sheetView zoomScale="80" zoomScaleNormal="80" zoomScaleSheetLayoutView="85" workbookViewId="0">
      <selection activeCell="K12" sqref="K12"/>
    </sheetView>
  </sheetViews>
  <sheetFormatPr defaultColWidth="9.140625" defaultRowHeight="15"/>
  <cols>
    <col min="1" max="1" width="9.140625" style="1"/>
    <col min="2" max="2" width="7" style="1" customWidth="1"/>
    <col min="3" max="3" width="25.140625" style="1" customWidth="1"/>
    <col min="4" max="4" width="20.85546875" style="1" customWidth="1"/>
    <col min="5" max="5" width="16.7109375" style="1" customWidth="1"/>
    <col min="6" max="6" width="16" style="1" customWidth="1"/>
    <col min="7" max="7" width="18.85546875" style="1" customWidth="1"/>
    <col min="8" max="8" width="16.7109375" style="1" customWidth="1"/>
    <col min="9" max="9" width="37.7109375" style="1" customWidth="1"/>
    <col min="10" max="10" width="20.7109375" style="1" hidden="1" customWidth="1"/>
    <col min="11" max="11" width="18" style="1" customWidth="1"/>
    <col min="12" max="12" width="20.28515625" style="1" customWidth="1"/>
    <col min="13" max="13" width="10.5703125" style="1" bestFit="1" customWidth="1"/>
    <col min="14" max="16384" width="9.140625" style="1"/>
  </cols>
  <sheetData>
    <row r="1" spans="2:12" ht="19.5" customHeight="1">
      <c r="D1" s="9"/>
      <c r="E1" s="9"/>
      <c r="F1" s="266"/>
    </row>
    <row r="2" spans="2:12" ht="33" customHeight="1">
      <c r="B2" s="660" t="s">
        <v>172</v>
      </c>
      <c r="C2" s="660"/>
      <c r="D2" s="660"/>
      <c r="E2" s="660"/>
      <c r="F2" s="660"/>
      <c r="G2" s="660"/>
      <c r="H2" s="660"/>
      <c r="I2" s="660"/>
      <c r="J2" s="660"/>
    </row>
    <row r="3" spans="2:12" ht="24.75" customHeight="1">
      <c r="B3" s="730" t="e">
        <f>#REF!</f>
        <v>#REF!</v>
      </c>
      <c r="C3" s="730"/>
      <c r="H3" s="268"/>
      <c r="J3" s="289" t="s">
        <v>136</v>
      </c>
    </row>
    <row r="4" spans="2:12" ht="73.5" customHeight="1">
      <c r="B4" s="317" t="s">
        <v>132</v>
      </c>
      <c r="C4" s="316" t="s">
        <v>0</v>
      </c>
      <c r="D4" s="319" t="s">
        <v>1</v>
      </c>
      <c r="E4" s="316" t="s">
        <v>137</v>
      </c>
      <c r="F4" s="316" t="s">
        <v>131</v>
      </c>
      <c r="G4" s="270" t="s">
        <v>135</v>
      </c>
      <c r="H4" s="270" t="s">
        <v>24</v>
      </c>
      <c r="I4" s="270" t="s">
        <v>88</v>
      </c>
      <c r="J4" s="316" t="s">
        <v>138</v>
      </c>
    </row>
    <row r="5" spans="2:12" ht="20.85" customHeight="1">
      <c r="B5" s="728" t="s">
        <v>174</v>
      </c>
      <c r="C5" s="729"/>
      <c r="D5" s="308"/>
      <c r="E5" s="308"/>
      <c r="F5" s="308"/>
      <c r="G5" s="309"/>
      <c r="H5" s="309"/>
      <c r="I5" s="309"/>
      <c r="J5" s="308"/>
    </row>
    <row r="6" spans="2:12" ht="20.85" customHeight="1">
      <c r="B6" s="727">
        <v>1</v>
      </c>
      <c r="C6" s="726" t="s">
        <v>133</v>
      </c>
      <c r="D6" s="275" t="s">
        <v>33</v>
      </c>
      <c r="E6" s="272">
        <v>3438</v>
      </c>
      <c r="F6" s="272">
        <f>K6</f>
        <v>0</v>
      </c>
      <c r="G6" s="265">
        <v>0</v>
      </c>
      <c r="H6" s="271">
        <v>0</v>
      </c>
      <c r="I6" s="284" t="s">
        <v>21</v>
      </c>
      <c r="J6" s="282">
        <f t="shared" ref="J6:J12" si="0">G6*8558/1000000</f>
        <v>0</v>
      </c>
      <c r="K6" s="11">
        <f t="shared" ref="K6:K12" si="1">G6-L6</f>
        <v>0</v>
      </c>
      <c r="L6" s="265">
        <v>0</v>
      </c>
    </row>
    <row r="7" spans="2:12" ht="20.85" customHeight="1">
      <c r="B7" s="727"/>
      <c r="C7" s="726"/>
      <c r="D7" s="275" t="s">
        <v>90</v>
      </c>
      <c r="E7" s="272">
        <v>9000</v>
      </c>
      <c r="F7" s="272">
        <f t="shared" ref="F7:F12" si="2">K7</f>
        <v>0</v>
      </c>
      <c r="G7" s="265">
        <v>0</v>
      </c>
      <c r="H7" s="271">
        <v>0</v>
      </c>
      <c r="I7" s="283" t="s">
        <v>114</v>
      </c>
      <c r="J7" s="282">
        <f t="shared" si="0"/>
        <v>0</v>
      </c>
      <c r="K7" s="11">
        <f t="shared" si="1"/>
        <v>0</v>
      </c>
      <c r="L7" s="265">
        <v>0</v>
      </c>
    </row>
    <row r="8" spans="2:12" ht="20.85" customHeight="1">
      <c r="B8" s="727"/>
      <c r="C8" s="726"/>
      <c r="D8" s="275" t="s">
        <v>110</v>
      </c>
      <c r="E8" s="272">
        <v>3768</v>
      </c>
      <c r="F8" s="287">
        <f t="shared" si="2"/>
        <v>0</v>
      </c>
      <c r="G8" s="265">
        <v>741</v>
      </c>
      <c r="H8" s="271">
        <v>574</v>
      </c>
      <c r="I8" s="283" t="s">
        <v>112</v>
      </c>
      <c r="J8" s="282">
        <f t="shared" si="0"/>
        <v>6.3414780000000004</v>
      </c>
      <c r="K8" s="11">
        <f t="shared" si="1"/>
        <v>0</v>
      </c>
      <c r="L8" s="265">
        <v>741</v>
      </c>
    </row>
    <row r="9" spans="2:12" ht="20.85" customHeight="1">
      <c r="B9" s="727"/>
      <c r="C9" s="726"/>
      <c r="D9" s="275" t="s">
        <v>119</v>
      </c>
      <c r="E9" s="272">
        <v>3240</v>
      </c>
      <c r="F9" s="272">
        <f>K9</f>
        <v>0</v>
      </c>
      <c r="G9" s="265"/>
      <c r="H9" s="271"/>
      <c r="I9" s="283" t="s">
        <v>124</v>
      </c>
      <c r="J9" s="282">
        <f t="shared" si="0"/>
        <v>0</v>
      </c>
      <c r="K9" s="11">
        <f t="shared" si="1"/>
        <v>0</v>
      </c>
      <c r="L9" s="265"/>
    </row>
    <row r="10" spans="2:12" ht="20.85" customHeight="1">
      <c r="B10" s="727"/>
      <c r="C10" s="726"/>
      <c r="D10" s="275" t="s">
        <v>123</v>
      </c>
      <c r="E10" s="272">
        <v>4530</v>
      </c>
      <c r="F10" s="272">
        <f t="shared" si="2"/>
        <v>0</v>
      </c>
      <c r="G10" s="265"/>
      <c r="H10" s="271"/>
      <c r="I10" s="284" t="s">
        <v>21</v>
      </c>
      <c r="J10" s="282">
        <f t="shared" si="0"/>
        <v>0</v>
      </c>
      <c r="K10" s="11">
        <f t="shared" si="1"/>
        <v>0</v>
      </c>
      <c r="L10" s="265"/>
    </row>
    <row r="11" spans="2:12" ht="20.85" customHeight="1">
      <c r="B11" s="727"/>
      <c r="C11" s="726"/>
      <c r="D11" s="275" t="s">
        <v>126</v>
      </c>
      <c r="E11" s="272">
        <v>293865</v>
      </c>
      <c r="F11" s="282">
        <f>K11</f>
        <v>0</v>
      </c>
      <c r="G11" s="265">
        <v>53045.2</v>
      </c>
      <c r="H11" s="271">
        <v>26174</v>
      </c>
      <c r="I11" s="283" t="s">
        <v>145</v>
      </c>
      <c r="J11" s="282">
        <f t="shared" si="0"/>
        <v>453.96082159999997</v>
      </c>
      <c r="K11" s="11">
        <f t="shared" si="1"/>
        <v>0</v>
      </c>
      <c r="L11" s="265">
        <v>53045.2</v>
      </c>
    </row>
    <row r="12" spans="2:12" ht="20.85" customHeight="1">
      <c r="B12" s="727"/>
      <c r="C12" s="726"/>
      <c r="D12" s="275" t="s">
        <v>128</v>
      </c>
      <c r="E12" s="272">
        <v>14900</v>
      </c>
      <c r="F12" s="272">
        <f t="shared" si="2"/>
        <v>0</v>
      </c>
      <c r="G12" s="265"/>
      <c r="H12" s="271"/>
      <c r="I12" s="284" t="s">
        <v>21</v>
      </c>
      <c r="J12" s="282">
        <f t="shared" si="0"/>
        <v>0</v>
      </c>
      <c r="K12" s="11">
        <f t="shared" si="1"/>
        <v>0</v>
      </c>
      <c r="L12" s="265"/>
    </row>
    <row r="13" spans="2:12" ht="20.85" customHeight="1">
      <c r="B13" s="276"/>
      <c r="C13" s="278"/>
      <c r="D13" s="279" t="s">
        <v>6</v>
      </c>
      <c r="E13" s="280">
        <f>SUM(E6:E12)</f>
        <v>332741</v>
      </c>
      <c r="F13" s="281">
        <f>SUM(F6:F12)</f>
        <v>0</v>
      </c>
      <c r="G13" s="281">
        <f>SUM(G6:G12)</f>
        <v>53786.2</v>
      </c>
      <c r="H13" s="280">
        <f>SUM(H6:H12)</f>
        <v>26748</v>
      </c>
      <c r="I13" s="283"/>
      <c r="J13" s="277">
        <f>SUM(J6:J12)</f>
        <v>460.30229959999997</v>
      </c>
    </row>
    <row r="14" spans="2:12" ht="20.85" customHeight="1">
      <c r="B14" s="650">
        <v>2</v>
      </c>
      <c r="C14" s="657" t="s">
        <v>134</v>
      </c>
      <c r="D14" s="275" t="s">
        <v>33</v>
      </c>
      <c r="E14" s="272">
        <v>7425</v>
      </c>
      <c r="F14" s="272">
        <f>K14</f>
        <v>0</v>
      </c>
      <c r="G14" s="265">
        <v>0</v>
      </c>
      <c r="H14" s="271">
        <v>0</v>
      </c>
      <c r="I14" s="284" t="s">
        <v>21</v>
      </c>
      <c r="J14" s="282">
        <f>G14*6950/1000000</f>
        <v>0</v>
      </c>
      <c r="K14" s="11">
        <f>G14-L14</f>
        <v>0</v>
      </c>
    </row>
    <row r="15" spans="2:12" ht="20.85" customHeight="1">
      <c r="B15" s="725"/>
      <c r="C15" s="641"/>
      <c r="D15" s="275" t="s">
        <v>90</v>
      </c>
      <c r="E15" s="272">
        <v>53000</v>
      </c>
      <c r="F15" s="272">
        <f>K15</f>
        <v>0</v>
      </c>
      <c r="G15" s="265"/>
      <c r="H15" s="271"/>
      <c r="I15" s="283" t="s">
        <v>114</v>
      </c>
      <c r="J15" s="282">
        <f>G15*6950/1000000</f>
        <v>0</v>
      </c>
      <c r="K15" s="11">
        <f>G15-L15</f>
        <v>0</v>
      </c>
    </row>
    <row r="16" spans="2:12" ht="20.85" customHeight="1">
      <c r="B16" s="725"/>
      <c r="C16" s="641"/>
      <c r="D16" s="275" t="s">
        <v>119</v>
      </c>
      <c r="E16" s="272">
        <v>296400</v>
      </c>
      <c r="F16" s="272">
        <f>K16</f>
        <v>0</v>
      </c>
      <c r="G16" s="265"/>
      <c r="H16" s="271"/>
      <c r="I16" s="283" t="s">
        <v>124</v>
      </c>
      <c r="J16" s="282">
        <f>G16*6950/1000000</f>
        <v>0</v>
      </c>
      <c r="K16" s="11">
        <f>G16-L16</f>
        <v>0</v>
      </c>
    </row>
    <row r="17" spans="2:12" ht="20.85" customHeight="1">
      <c r="B17" s="725"/>
      <c r="C17" s="641"/>
      <c r="D17" s="275" t="s">
        <v>123</v>
      </c>
      <c r="E17" s="272">
        <v>5664</v>
      </c>
      <c r="F17" s="272">
        <f>K17</f>
        <v>0</v>
      </c>
      <c r="G17" s="265"/>
      <c r="H17" s="271"/>
      <c r="I17" s="284" t="s">
        <v>21</v>
      </c>
      <c r="J17" s="282">
        <f>G17*6950/1000000</f>
        <v>0</v>
      </c>
      <c r="K17" s="11">
        <f>G17-L17</f>
        <v>0</v>
      </c>
    </row>
    <row r="18" spans="2:12" ht="20.85" customHeight="1">
      <c r="B18" s="725"/>
      <c r="C18" s="641"/>
      <c r="D18" s="275" t="s">
        <v>126</v>
      </c>
      <c r="E18" s="272">
        <v>135200</v>
      </c>
      <c r="F18" s="272">
        <f>K18</f>
        <v>0</v>
      </c>
      <c r="G18" s="265"/>
      <c r="H18" s="271"/>
      <c r="I18" s="283" t="s">
        <v>145</v>
      </c>
      <c r="J18" s="282">
        <f>G18*6950/1000000</f>
        <v>0</v>
      </c>
      <c r="K18" s="11">
        <f>G18-L18</f>
        <v>0</v>
      </c>
    </row>
    <row r="19" spans="2:12" ht="20.85" customHeight="1">
      <c r="B19" s="725"/>
      <c r="C19" s="641"/>
      <c r="D19" s="275" t="s">
        <v>128</v>
      </c>
      <c r="E19" s="272">
        <v>22000</v>
      </c>
      <c r="F19" s="272"/>
      <c r="G19" s="265"/>
      <c r="H19" s="271"/>
      <c r="I19" s="284" t="s">
        <v>21</v>
      </c>
      <c r="J19" s="282"/>
      <c r="K19" s="11"/>
    </row>
    <row r="20" spans="2:12" ht="20.85" customHeight="1">
      <c r="B20" s="651"/>
      <c r="C20" s="669"/>
      <c r="D20" s="275" t="s">
        <v>110</v>
      </c>
      <c r="E20" s="272">
        <v>90</v>
      </c>
      <c r="F20" s="272"/>
      <c r="G20" s="265"/>
      <c r="H20" s="271"/>
      <c r="I20" s="284" t="s">
        <v>21</v>
      </c>
      <c r="J20" s="282"/>
      <c r="K20" s="11"/>
    </row>
    <row r="21" spans="2:12" ht="20.85" customHeight="1">
      <c r="B21" s="276"/>
      <c r="C21" s="278"/>
      <c r="D21" s="279" t="s">
        <v>6</v>
      </c>
      <c r="E21" s="280">
        <f>SUM(E14:E20)</f>
        <v>519779</v>
      </c>
      <c r="F21" s="280">
        <f>SUM(F14:F18)</f>
        <v>0</v>
      </c>
      <c r="G21" s="280">
        <f>SUM(G14:G18)</f>
        <v>0</v>
      </c>
      <c r="H21" s="280">
        <f>SUM(H14:H18)</f>
        <v>0</v>
      </c>
      <c r="I21" s="283"/>
      <c r="J21" s="277">
        <f>SUM(J14:J18)</f>
        <v>0</v>
      </c>
    </row>
    <row r="22" spans="2:12" ht="20.85" customHeight="1">
      <c r="B22" s="650">
        <v>3</v>
      </c>
      <c r="C22" s="657" t="s">
        <v>146</v>
      </c>
      <c r="D22" s="275" t="s">
        <v>123</v>
      </c>
      <c r="E22" s="272">
        <v>153090</v>
      </c>
      <c r="F22" s="282">
        <f>K22</f>
        <v>0</v>
      </c>
      <c r="G22" s="265">
        <v>0</v>
      </c>
      <c r="H22" s="271">
        <v>0</v>
      </c>
      <c r="I22" s="284" t="s">
        <v>21</v>
      </c>
      <c r="J22" s="282">
        <f>G22*7000/1000000</f>
        <v>0</v>
      </c>
    </row>
    <row r="23" spans="2:12" ht="20.85" customHeight="1">
      <c r="B23" s="725"/>
      <c r="C23" s="641"/>
      <c r="D23" s="275" t="s">
        <v>90</v>
      </c>
      <c r="E23" s="272">
        <v>245710</v>
      </c>
      <c r="F23" s="282"/>
      <c r="G23" s="265"/>
      <c r="H23" s="271"/>
      <c r="I23" s="284" t="s">
        <v>166</v>
      </c>
      <c r="J23" s="282"/>
    </row>
    <row r="24" spans="2:12" ht="20.85" customHeight="1">
      <c r="B24" s="725"/>
      <c r="C24" s="641"/>
      <c r="D24" s="275" t="s">
        <v>110</v>
      </c>
      <c r="E24" s="272">
        <v>2760</v>
      </c>
      <c r="F24" s="282"/>
      <c r="G24" s="265"/>
      <c r="H24" s="271"/>
      <c r="I24" s="284" t="s">
        <v>21</v>
      </c>
      <c r="J24" s="282"/>
    </row>
    <row r="25" spans="2:12" ht="20.85" customHeight="1">
      <c r="B25" s="651"/>
      <c r="C25" s="669"/>
      <c r="D25" s="275" t="s">
        <v>128</v>
      </c>
      <c r="E25" s="272">
        <v>876090</v>
      </c>
      <c r="F25" s="282"/>
      <c r="G25" s="265"/>
      <c r="H25" s="271"/>
      <c r="I25" s="284" t="s">
        <v>21</v>
      </c>
      <c r="J25" s="282"/>
    </row>
    <row r="26" spans="2:12" ht="20.85" customHeight="1">
      <c r="B26" s="276"/>
      <c r="C26" s="278"/>
      <c r="D26" s="279" t="s">
        <v>6</v>
      </c>
      <c r="E26" s="280">
        <f>SUM(E22:E25)</f>
        <v>1277650</v>
      </c>
      <c r="F26" s="281">
        <f>SUM(F22)</f>
        <v>0</v>
      </c>
      <c r="G26" s="281">
        <f>SUM(G22)</f>
        <v>0</v>
      </c>
      <c r="H26" s="280">
        <f>SUM(H22)</f>
        <v>0</v>
      </c>
      <c r="I26" s="283"/>
      <c r="J26" s="277">
        <f>SUM(J22)</f>
        <v>0</v>
      </c>
    </row>
    <row r="27" spans="2:12" ht="20.85" customHeight="1">
      <c r="B27" s="650">
        <v>4</v>
      </c>
      <c r="C27" s="726" t="s">
        <v>139</v>
      </c>
      <c r="D27" s="275" t="s">
        <v>90</v>
      </c>
      <c r="E27" s="272">
        <v>998000</v>
      </c>
      <c r="F27" s="287">
        <f>K27</f>
        <v>0</v>
      </c>
      <c r="G27" s="265">
        <v>1224.3129000000001</v>
      </c>
      <c r="H27" s="271">
        <v>539</v>
      </c>
      <c r="I27" s="283" t="s">
        <v>114</v>
      </c>
      <c r="J27" s="282">
        <f>G27*6377/1000000</f>
        <v>7.8074433633000009</v>
      </c>
      <c r="K27" s="11">
        <f>G27-L27</f>
        <v>0</v>
      </c>
      <c r="L27" s="265">
        <v>1224.3128999999999</v>
      </c>
    </row>
    <row r="28" spans="2:12" ht="20.85" customHeight="1">
      <c r="B28" s="725"/>
      <c r="C28" s="726"/>
      <c r="D28" s="275" t="s">
        <v>110</v>
      </c>
      <c r="E28" s="272">
        <v>1580</v>
      </c>
      <c r="F28" s="287">
        <f>K28</f>
        <v>0</v>
      </c>
      <c r="G28" s="265"/>
      <c r="H28" s="271"/>
      <c r="I28" s="283" t="s">
        <v>113</v>
      </c>
      <c r="J28" s="282">
        <f>G28*6377/1000000</f>
        <v>0</v>
      </c>
      <c r="K28" s="11">
        <f>G28-L28</f>
        <v>0</v>
      </c>
      <c r="L28" s="265"/>
    </row>
    <row r="29" spans="2:12" ht="20.85" customHeight="1">
      <c r="B29" s="725"/>
      <c r="C29" s="726"/>
      <c r="D29" s="275" t="s">
        <v>119</v>
      </c>
      <c r="E29" s="272">
        <v>27148</v>
      </c>
      <c r="F29" s="287">
        <f>K29</f>
        <v>0</v>
      </c>
      <c r="G29" s="265">
        <v>27147.464</v>
      </c>
      <c r="H29" s="271">
        <v>6837</v>
      </c>
      <c r="I29" s="283" t="s">
        <v>144</v>
      </c>
      <c r="J29" s="282">
        <f>G29*6377/1000000</f>
        <v>173.11937792800001</v>
      </c>
      <c r="K29" s="11">
        <f>G29-L29</f>
        <v>0</v>
      </c>
      <c r="L29" s="265">
        <v>27147.464</v>
      </c>
    </row>
    <row r="30" spans="2:12" ht="20.85" customHeight="1">
      <c r="B30" s="651"/>
      <c r="C30" s="726"/>
      <c r="D30" s="275" t="s">
        <v>126</v>
      </c>
      <c r="E30" s="272">
        <v>480803</v>
      </c>
      <c r="F30" s="287">
        <f>K30</f>
        <v>0</v>
      </c>
      <c r="G30" s="265">
        <v>46452.83</v>
      </c>
      <c r="H30" s="271">
        <v>19272</v>
      </c>
      <c r="I30" s="283" t="s">
        <v>158</v>
      </c>
      <c r="J30" s="282">
        <f>G30*6377/1000000</f>
        <v>296.22969691000003</v>
      </c>
      <c r="K30" s="11">
        <f>G30-L30</f>
        <v>0</v>
      </c>
      <c r="L30" s="265">
        <v>46452.83</v>
      </c>
    </row>
    <row r="31" spans="2:12" ht="20.85" customHeight="1">
      <c r="B31" s="276"/>
      <c r="C31" s="278"/>
      <c r="D31" s="279" t="s">
        <v>6</v>
      </c>
      <c r="E31" s="280">
        <f>SUM(E27:E30)</f>
        <v>1507531</v>
      </c>
      <c r="F31" s="293">
        <f>SUM(F27:F30)</f>
        <v>0</v>
      </c>
      <c r="G31" s="293">
        <f>SUM(G27:G30)</f>
        <v>74824.606899999999</v>
      </c>
      <c r="H31" s="280">
        <f>SUM(H27:H30)</f>
        <v>26648</v>
      </c>
      <c r="I31" s="283"/>
      <c r="J31" s="277">
        <f>SUM(J27:J30)</f>
        <v>477.15651820130006</v>
      </c>
    </row>
    <row r="32" spans="2:12" ht="20.85" customHeight="1">
      <c r="B32" s="650">
        <v>5</v>
      </c>
      <c r="C32" s="726" t="s">
        <v>140</v>
      </c>
      <c r="D32" s="275" t="s">
        <v>90</v>
      </c>
      <c r="E32" s="272">
        <v>91343</v>
      </c>
      <c r="F32" s="287">
        <f>K32</f>
        <v>0</v>
      </c>
      <c r="G32" s="265">
        <v>111.5</v>
      </c>
      <c r="H32" s="271">
        <v>75</v>
      </c>
      <c r="I32" s="283" t="s">
        <v>114</v>
      </c>
      <c r="J32" s="287">
        <f>G32*4600/1000000</f>
        <v>0.51290000000000002</v>
      </c>
      <c r="K32" s="11">
        <f>G32-L32</f>
        <v>0</v>
      </c>
      <c r="L32" s="265">
        <v>111.5</v>
      </c>
    </row>
    <row r="33" spans="2:12" ht="20.85" customHeight="1">
      <c r="B33" s="725"/>
      <c r="C33" s="726"/>
      <c r="D33" s="275" t="s">
        <v>123</v>
      </c>
      <c r="E33" s="272">
        <v>81760</v>
      </c>
      <c r="F33" s="287">
        <f>K33</f>
        <v>0</v>
      </c>
      <c r="G33" s="265">
        <v>6082.25</v>
      </c>
      <c r="H33" s="271">
        <v>3434</v>
      </c>
      <c r="I33" s="283" t="s">
        <v>163</v>
      </c>
      <c r="J33" s="287">
        <f>G33*4600/1000000</f>
        <v>27.978349999999999</v>
      </c>
      <c r="K33" s="11">
        <f>G33-L33</f>
        <v>0</v>
      </c>
      <c r="L33" s="265">
        <v>6082.25</v>
      </c>
    </row>
    <row r="34" spans="2:12" ht="20.85" customHeight="1">
      <c r="B34" s="725"/>
      <c r="C34" s="726"/>
      <c r="D34" s="275" t="s">
        <v>126</v>
      </c>
      <c r="E34" s="271">
        <v>301650</v>
      </c>
      <c r="F34" s="287">
        <f>K34</f>
        <v>0</v>
      </c>
      <c r="G34" s="272"/>
      <c r="H34" s="206"/>
      <c r="I34" s="283" t="s">
        <v>145</v>
      </c>
      <c r="J34" s="272">
        <f>G34*4600/1000000</f>
        <v>0</v>
      </c>
      <c r="K34" s="11">
        <f>G34-L34</f>
        <v>0</v>
      </c>
      <c r="L34" s="272"/>
    </row>
    <row r="35" spans="2:12" ht="20.85" customHeight="1">
      <c r="B35" s="651"/>
      <c r="C35" s="726"/>
      <c r="D35" s="275" t="s">
        <v>128</v>
      </c>
      <c r="E35" s="271">
        <v>1143000</v>
      </c>
      <c r="F35" s="287">
        <f>K35</f>
        <v>0</v>
      </c>
      <c r="G35" s="282">
        <v>728.15599999999995</v>
      </c>
      <c r="H35" s="271">
        <v>534</v>
      </c>
      <c r="I35" s="283" t="s">
        <v>180</v>
      </c>
      <c r="J35" s="287">
        <f>G35*4600/1000000</f>
        <v>3.3495175999999995</v>
      </c>
      <c r="K35" s="11">
        <f>G35-L35</f>
        <v>0</v>
      </c>
      <c r="L35" s="282">
        <v>728.15599999999995</v>
      </c>
    </row>
    <row r="36" spans="2:12" ht="20.85" customHeight="1">
      <c r="B36" s="276"/>
      <c r="C36" s="278"/>
      <c r="D36" s="279" t="s">
        <v>6</v>
      </c>
      <c r="E36" s="280">
        <f>SUM(E32:E35)</f>
        <v>1617753</v>
      </c>
      <c r="F36" s="281">
        <f>SUM(F32:F35)</f>
        <v>0</v>
      </c>
      <c r="G36" s="281">
        <f>SUM(G32:G35)</f>
        <v>6921.9059999999999</v>
      </c>
      <c r="H36" s="280">
        <f>SUM(H32:H35)</f>
        <v>4043</v>
      </c>
      <c r="I36" s="283"/>
      <c r="J36" s="288">
        <f>SUM(J32:J35)</f>
        <v>31.840767599999996</v>
      </c>
      <c r="L36" s="11">
        <f>SUM(L32:L35)</f>
        <v>6921.9059999999999</v>
      </c>
    </row>
    <row r="37" spans="2:12" ht="20.85" customHeight="1">
      <c r="B37" s="650">
        <v>6</v>
      </c>
      <c r="C37" s="657" t="s">
        <v>141</v>
      </c>
      <c r="D37" s="275" t="s">
        <v>119</v>
      </c>
      <c r="E37" s="272">
        <v>15538</v>
      </c>
      <c r="F37" s="282">
        <f>K37</f>
        <v>0</v>
      </c>
      <c r="G37" s="265"/>
      <c r="H37" s="271"/>
      <c r="I37" s="283" t="s">
        <v>124</v>
      </c>
      <c r="J37" s="272">
        <f>G37*8635/1000000</f>
        <v>0</v>
      </c>
      <c r="K37" s="11">
        <f>G37-L37</f>
        <v>0</v>
      </c>
    </row>
    <row r="38" spans="2:12" ht="20.85" customHeight="1">
      <c r="B38" s="651"/>
      <c r="C38" s="669"/>
      <c r="D38" s="275" t="s">
        <v>110</v>
      </c>
      <c r="E38" s="272">
        <v>25</v>
      </c>
      <c r="F38" s="282"/>
      <c r="G38" s="265"/>
      <c r="H38" s="271"/>
      <c r="I38" s="284" t="s">
        <v>21</v>
      </c>
      <c r="J38" s="272"/>
      <c r="K38" s="11"/>
    </row>
    <row r="39" spans="2:12" ht="20.85" customHeight="1">
      <c r="B39" s="276"/>
      <c r="C39" s="278"/>
      <c r="D39" s="279" t="s">
        <v>6</v>
      </c>
      <c r="E39" s="280">
        <f>SUM(E37:E38)</f>
        <v>15563</v>
      </c>
      <c r="F39" s="281">
        <f>SUM(F37)</f>
        <v>0</v>
      </c>
      <c r="G39" s="280">
        <f>SUM(G37)</f>
        <v>0</v>
      </c>
      <c r="H39" s="280">
        <f>SUM(H37)</f>
        <v>0</v>
      </c>
      <c r="I39" s="283"/>
      <c r="J39" s="273">
        <f>SUM(J37)</f>
        <v>0</v>
      </c>
    </row>
    <row r="40" spans="2:12" ht="26.25" customHeight="1">
      <c r="B40" s="650">
        <v>7</v>
      </c>
      <c r="C40" s="657" t="s">
        <v>142</v>
      </c>
      <c r="D40" s="275" t="s">
        <v>86</v>
      </c>
      <c r="E40" s="272">
        <v>26250</v>
      </c>
      <c r="F40" s="282">
        <f>K40</f>
        <v>0</v>
      </c>
      <c r="G40" s="265">
        <v>4749.24</v>
      </c>
      <c r="H40" s="271">
        <v>4696</v>
      </c>
      <c r="I40" s="283" t="s">
        <v>150</v>
      </c>
      <c r="J40" s="282">
        <f>G40*6760/1000000</f>
        <v>32.104862400000002</v>
      </c>
      <c r="K40" s="11">
        <f>G40-L40</f>
        <v>0</v>
      </c>
      <c r="L40" s="265">
        <v>4749.24</v>
      </c>
    </row>
    <row r="41" spans="2:12" ht="24.75" customHeight="1">
      <c r="B41" s="651"/>
      <c r="C41" s="669"/>
      <c r="D41" s="279" t="s">
        <v>6</v>
      </c>
      <c r="E41" s="280">
        <f>SUM(E40)</f>
        <v>26250</v>
      </c>
      <c r="F41" s="281">
        <f>SUM(F40)</f>
        <v>0</v>
      </c>
      <c r="G41" s="281">
        <f>SUM(G40)</f>
        <v>4749.24</v>
      </c>
      <c r="H41" s="280">
        <f>SUM(H40)</f>
        <v>4696</v>
      </c>
      <c r="I41" s="283"/>
      <c r="J41" s="277">
        <f>SUM(J40)</f>
        <v>32.104862400000002</v>
      </c>
    </row>
    <row r="42" spans="2:12" ht="20.85" customHeight="1">
      <c r="B42" s="323"/>
      <c r="C42" s="322"/>
      <c r="D42" s="274"/>
      <c r="E42" s="273"/>
      <c r="F42" s="277"/>
      <c r="G42" s="277"/>
      <c r="H42" s="273"/>
      <c r="I42" s="307"/>
      <c r="J42" s="277"/>
    </row>
    <row r="43" spans="2:12" ht="20.85" customHeight="1">
      <c r="B43" s="294"/>
      <c r="C43" s="294"/>
      <c r="D43" s="295" t="s">
        <v>5</v>
      </c>
      <c r="E43" s="296">
        <f>E41+E39+E36+E31+E21+E13+E26</f>
        <v>5297267</v>
      </c>
      <c r="F43" s="297">
        <f>F41+F39+F36+F31+F21+F13</f>
        <v>0</v>
      </c>
      <c r="G43" s="297">
        <f>G41+G39+G36+G31+G21+G13</f>
        <v>140281.95289999997</v>
      </c>
      <c r="H43" s="296">
        <f>H41+H39+H36+H31+H21+H13</f>
        <v>62135</v>
      </c>
      <c r="I43" s="294"/>
      <c r="J43" s="297">
        <f>J41+J39+J36+J31+J21+J13</f>
        <v>1001.4044478013</v>
      </c>
    </row>
    <row r="44" spans="2:12" ht="20.85" hidden="1" customHeight="1"/>
    <row r="45" spans="2:12" ht="20.85" hidden="1" customHeight="1"/>
    <row r="46" spans="2:12" ht="20.85" hidden="1" customHeight="1"/>
    <row r="47" spans="2:12" ht="20.85" hidden="1" customHeight="1"/>
    <row r="48" spans="2:12" ht="20.85" hidden="1" customHeight="1"/>
    <row r="49" spans="3:8" ht="20.85" customHeight="1"/>
    <row r="50" spans="3:8" ht="12.75" customHeight="1">
      <c r="D50" s="22"/>
      <c r="E50" s="27"/>
      <c r="F50" s="27"/>
      <c r="G50" s="28"/>
      <c r="H50" s="27"/>
    </row>
    <row r="51" spans="3:8" ht="29.25" customHeight="1">
      <c r="C51" s="290" t="s">
        <v>111</v>
      </c>
      <c r="D51" s="290" t="s">
        <v>106</v>
      </c>
      <c r="E51" s="318" t="s">
        <v>135</v>
      </c>
      <c r="F51" s="318" t="s">
        <v>107</v>
      </c>
      <c r="G51" s="318" t="s">
        <v>138</v>
      </c>
      <c r="H51" s="10"/>
    </row>
    <row r="52" spans="3:8" ht="15.75" customHeight="1" thickBot="1">
      <c r="C52" s="315" t="s">
        <v>155</v>
      </c>
      <c r="D52" s="290"/>
      <c r="E52" s="318"/>
      <c r="F52" s="318"/>
      <c r="G52" s="318"/>
      <c r="H52" s="10"/>
    </row>
    <row r="53" spans="3:8" ht="24.75" customHeight="1">
      <c r="C53" s="285" t="s">
        <v>157</v>
      </c>
      <c r="D53" s="33">
        <f>E13+E21+E26</f>
        <v>2130170</v>
      </c>
      <c r="E53" s="291">
        <f>G13+G21+G26</f>
        <v>53786.2</v>
      </c>
      <c r="F53" s="292">
        <f>H13+H21+H26</f>
        <v>26748</v>
      </c>
      <c r="G53" s="291">
        <f>J13+J21+J26</f>
        <v>460.30229959999997</v>
      </c>
    </row>
    <row r="54" spans="3:8" ht="24.75" customHeight="1">
      <c r="C54" s="286" t="s">
        <v>143</v>
      </c>
      <c r="D54" s="255">
        <f>E41+E36+E31+E39</f>
        <v>3167097</v>
      </c>
      <c r="E54" s="254">
        <f>G41+G36+G31+G39</f>
        <v>86495.752899999992</v>
      </c>
      <c r="F54" s="255">
        <f>H41+H36+H31+H39</f>
        <v>35387</v>
      </c>
      <c r="G54" s="254">
        <f>J41+J36+J31+J39</f>
        <v>541.1021482013</v>
      </c>
    </row>
    <row r="55" spans="3:8" ht="24.75" customHeight="1" thickBot="1">
      <c r="C55" s="303" t="s">
        <v>38</v>
      </c>
      <c r="D55" s="260">
        <f>SUM(D53:D54)</f>
        <v>5297267</v>
      </c>
      <c r="E55" s="207">
        <f>SUM(E53:E54)</f>
        <v>140281.95289999997</v>
      </c>
      <c r="F55" s="260">
        <f>SUM(F53:F54)</f>
        <v>62135</v>
      </c>
      <c r="G55" s="207">
        <f>SUM(G53:G54)</f>
        <v>1001.4044478013</v>
      </c>
    </row>
    <row r="56" spans="3:8" ht="24.75" customHeight="1"/>
    <row r="57" spans="3:8" ht="24.75" customHeight="1"/>
    <row r="58" spans="3:8" ht="17.25" customHeight="1">
      <c r="C58" s="311"/>
      <c r="D58" s="312"/>
      <c r="E58" s="313"/>
      <c r="F58" s="312"/>
      <c r="G58" s="313"/>
    </row>
  </sheetData>
  <mergeCells count="17">
    <mergeCell ref="C37:C38"/>
    <mergeCell ref="C40:C41"/>
    <mergeCell ref="B40:B41"/>
    <mergeCell ref="C14:C20"/>
    <mergeCell ref="B14:B20"/>
    <mergeCell ref="B37:B38"/>
    <mergeCell ref="C32:C35"/>
    <mergeCell ref="B32:B35"/>
    <mergeCell ref="C22:C25"/>
    <mergeCell ref="B22:B25"/>
    <mergeCell ref="B2:J2"/>
    <mergeCell ref="B27:B30"/>
    <mergeCell ref="C6:C12"/>
    <mergeCell ref="C27:C30"/>
    <mergeCell ref="B6:B12"/>
    <mergeCell ref="B5:C5"/>
    <mergeCell ref="B3:C3"/>
  </mergeCells>
  <pageMargins left="0.23622047244094491" right="0.23622047244094491" top="0.23622047244094491" bottom="0.23622047244094491" header="0.15748031496062992" footer="0.15748031496062992"/>
  <pageSetup paperSize="9" scale="62" orientation="portrait" r:id="rId1"/>
</worksheet>
</file>

<file path=xl/worksheets/sheet2.xml><?xml version="1.0" encoding="utf-8"?>
<worksheet xmlns="http://schemas.openxmlformats.org/spreadsheetml/2006/main" xmlns:r="http://schemas.openxmlformats.org/officeDocument/2006/relationships">
  <dimension ref="A1:L40"/>
  <sheetViews>
    <sheetView zoomScale="80" zoomScaleNormal="80" workbookViewId="0">
      <pane xSplit="1" ySplit="1" topLeftCell="B2" activePane="bottomRight" state="frozen"/>
      <selection pane="topRight" activeCell="B1" sqref="B1"/>
      <selection pane="bottomLeft" activeCell="A2" sqref="A2"/>
      <selection pane="bottomRight" activeCell="D13" sqref="D13"/>
    </sheetView>
  </sheetViews>
  <sheetFormatPr defaultRowHeight="15"/>
  <cols>
    <col min="1" max="1" width="23.140625" customWidth="1"/>
    <col min="2" max="2" width="11.28515625" customWidth="1"/>
    <col min="3" max="3" width="10.140625" customWidth="1"/>
    <col min="4" max="4" width="12.140625" customWidth="1"/>
    <col min="5" max="5" width="10.28515625" customWidth="1"/>
    <col min="6" max="6" width="16.42578125" customWidth="1"/>
    <col min="7" max="7" width="19.85546875" customWidth="1"/>
    <col min="8" max="8" width="27.5703125" customWidth="1"/>
    <col min="9" max="9" width="30.42578125" customWidth="1"/>
    <col min="10" max="10" width="15.42578125" customWidth="1"/>
    <col min="11" max="11" width="17.42578125" customWidth="1"/>
    <col min="12" max="12" width="17.140625" customWidth="1"/>
  </cols>
  <sheetData>
    <row r="1" spans="1:12" ht="29.25" customHeight="1">
      <c r="A1" s="91" t="s">
        <v>43</v>
      </c>
      <c r="B1" s="91" t="s">
        <v>44</v>
      </c>
      <c r="C1" s="91" t="s">
        <v>45</v>
      </c>
      <c r="D1" s="91" t="s">
        <v>46</v>
      </c>
      <c r="E1" s="91" t="s">
        <v>47</v>
      </c>
      <c r="F1" s="91" t="s">
        <v>48</v>
      </c>
      <c r="G1" s="91" t="s">
        <v>49</v>
      </c>
      <c r="H1" s="91" t="s">
        <v>50</v>
      </c>
      <c r="I1" s="91" t="s">
        <v>51</v>
      </c>
      <c r="J1" s="92" t="s">
        <v>52</v>
      </c>
      <c r="K1" s="92" t="s">
        <v>53</v>
      </c>
      <c r="L1" s="91" t="s">
        <v>54</v>
      </c>
    </row>
    <row r="2" spans="1:12" ht="17.25" customHeight="1">
      <c r="A2" s="93" t="s">
        <v>55</v>
      </c>
      <c r="B2" s="93" t="s">
        <v>56</v>
      </c>
      <c r="C2" s="93" t="s">
        <v>57</v>
      </c>
      <c r="D2" s="93">
        <v>7755</v>
      </c>
      <c r="E2" s="93" t="s">
        <v>58</v>
      </c>
      <c r="F2" s="93">
        <v>275645</v>
      </c>
      <c r="G2" s="94">
        <v>0</v>
      </c>
      <c r="H2" s="94">
        <v>275645.005</v>
      </c>
      <c r="I2" s="94">
        <v>91491</v>
      </c>
      <c r="J2" s="95">
        <v>45089</v>
      </c>
      <c r="K2" s="95">
        <v>45138</v>
      </c>
      <c r="L2" s="96">
        <v>2137.6270137750003</v>
      </c>
    </row>
    <row r="3" spans="1:12" ht="17.25" customHeight="1">
      <c r="A3" s="93" t="s">
        <v>55</v>
      </c>
      <c r="B3" s="93" t="s">
        <v>56</v>
      </c>
      <c r="C3" s="93" t="s">
        <v>57</v>
      </c>
      <c r="D3" s="93">
        <v>7755</v>
      </c>
      <c r="E3" s="93" t="s">
        <v>59</v>
      </c>
      <c r="F3" s="93">
        <v>12523</v>
      </c>
      <c r="G3" s="94">
        <v>0</v>
      </c>
      <c r="H3" s="94">
        <v>0</v>
      </c>
      <c r="I3" s="94">
        <v>0</v>
      </c>
      <c r="J3" s="95">
        <v>45078</v>
      </c>
      <c r="K3" s="95">
        <v>45167</v>
      </c>
      <c r="L3" s="96">
        <v>0</v>
      </c>
    </row>
    <row r="4" spans="1:12" ht="17.25" customHeight="1">
      <c r="A4" s="93" t="s">
        <v>55</v>
      </c>
      <c r="B4" s="93" t="s">
        <v>56</v>
      </c>
      <c r="C4" s="93" t="s">
        <v>57</v>
      </c>
      <c r="D4" s="93">
        <v>7755</v>
      </c>
      <c r="E4" s="93" t="s">
        <v>81</v>
      </c>
      <c r="F4" s="93">
        <v>16250</v>
      </c>
      <c r="G4" s="94">
        <v>0</v>
      </c>
      <c r="H4" s="94">
        <v>1961.16</v>
      </c>
      <c r="I4" s="94">
        <v>1122</v>
      </c>
      <c r="J4" s="95">
        <v>45090</v>
      </c>
      <c r="K4" s="95">
        <v>45138</v>
      </c>
      <c r="L4" s="96">
        <v>15.208795800000001</v>
      </c>
    </row>
    <row r="5" spans="1:12" ht="17.25" customHeight="1">
      <c r="A5" s="93" t="s">
        <v>55</v>
      </c>
      <c r="B5" s="93" t="s">
        <v>56</v>
      </c>
      <c r="C5" s="93" t="s">
        <v>57</v>
      </c>
      <c r="D5" s="93">
        <v>7755</v>
      </c>
      <c r="E5" s="93" t="s">
        <v>60</v>
      </c>
      <c r="F5" s="93">
        <v>8400</v>
      </c>
      <c r="G5" s="94">
        <v>0</v>
      </c>
      <c r="H5" s="94">
        <v>13.15</v>
      </c>
      <c r="I5" s="94">
        <v>6</v>
      </c>
      <c r="J5" s="95">
        <v>45078</v>
      </c>
      <c r="K5" s="95">
        <v>45138</v>
      </c>
      <c r="L5" s="96">
        <v>0.10197825000000001</v>
      </c>
    </row>
    <row r="6" spans="1:12" ht="17.25" customHeight="1">
      <c r="A6" s="93" t="s">
        <v>61</v>
      </c>
      <c r="B6" s="93" t="s">
        <v>56</v>
      </c>
      <c r="C6" s="93" t="s">
        <v>57</v>
      </c>
      <c r="D6" s="93">
        <v>6600</v>
      </c>
      <c r="E6" s="93" t="s">
        <v>58</v>
      </c>
      <c r="F6" s="93">
        <v>26588</v>
      </c>
      <c r="G6" s="94">
        <v>0</v>
      </c>
      <c r="H6" s="94">
        <v>0</v>
      </c>
      <c r="I6" s="94">
        <v>0</v>
      </c>
      <c r="J6" s="95">
        <v>45089</v>
      </c>
      <c r="K6" s="95">
        <v>45138</v>
      </c>
      <c r="L6" s="96">
        <v>0</v>
      </c>
    </row>
    <row r="7" spans="1:12" ht="18">
      <c r="A7" s="93" t="s">
        <v>55</v>
      </c>
      <c r="B7" s="93" t="s">
        <v>62</v>
      </c>
      <c r="C7" s="93" t="s">
        <v>63</v>
      </c>
      <c r="D7" s="93">
        <v>7755</v>
      </c>
      <c r="E7" s="93" t="s">
        <v>64</v>
      </c>
      <c r="F7" s="93">
        <v>12605</v>
      </c>
      <c r="G7" s="94">
        <v>0</v>
      </c>
      <c r="H7" s="94">
        <v>2135.1999999999998</v>
      </c>
      <c r="I7" s="94">
        <v>1907</v>
      </c>
      <c r="J7" s="95">
        <v>44986</v>
      </c>
      <c r="K7" s="95">
        <v>45106</v>
      </c>
      <c r="L7" s="96">
        <v>16.558475999999999</v>
      </c>
    </row>
    <row r="8" spans="1:12" ht="18">
      <c r="A8" s="93" t="s">
        <v>55</v>
      </c>
      <c r="B8" s="93" t="s">
        <v>62</v>
      </c>
      <c r="C8" s="93" t="s">
        <v>63</v>
      </c>
      <c r="D8" s="93">
        <v>7755</v>
      </c>
      <c r="E8" s="93" t="s">
        <v>65</v>
      </c>
      <c r="F8" s="93">
        <v>14598</v>
      </c>
      <c r="G8" s="96">
        <v>0</v>
      </c>
      <c r="H8" s="94">
        <v>1878.8840600000001</v>
      </c>
      <c r="I8" s="94">
        <v>2815</v>
      </c>
      <c r="J8" s="95">
        <v>45068</v>
      </c>
      <c r="K8" s="95">
        <v>45167</v>
      </c>
      <c r="L8" s="96">
        <v>14.570745885300001</v>
      </c>
    </row>
    <row r="9" spans="1:12" ht="18">
      <c r="A9" s="93" t="s">
        <v>61</v>
      </c>
      <c r="B9" s="93" t="s">
        <v>62</v>
      </c>
      <c r="C9" s="93" t="s">
        <v>63</v>
      </c>
      <c r="D9" s="93">
        <v>6600</v>
      </c>
      <c r="E9" s="93" t="s">
        <v>65</v>
      </c>
      <c r="F9" s="93">
        <v>1060</v>
      </c>
      <c r="G9" s="94">
        <v>0</v>
      </c>
      <c r="H9" s="94">
        <v>0</v>
      </c>
      <c r="I9" s="94">
        <v>0</v>
      </c>
      <c r="J9" s="95">
        <v>45068</v>
      </c>
      <c r="K9" s="95">
        <v>45167</v>
      </c>
      <c r="L9" s="96">
        <v>0</v>
      </c>
    </row>
    <row r="10" spans="1:12" ht="18">
      <c r="A10" s="93" t="s">
        <v>61</v>
      </c>
      <c r="B10" s="93" t="s">
        <v>62</v>
      </c>
      <c r="C10" s="93" t="s">
        <v>63</v>
      </c>
      <c r="D10" s="93">
        <v>6600</v>
      </c>
      <c r="E10" s="93" t="s">
        <v>64</v>
      </c>
      <c r="F10" s="93">
        <v>60203</v>
      </c>
      <c r="G10" s="94">
        <v>0</v>
      </c>
      <c r="H10" s="94">
        <v>0</v>
      </c>
      <c r="I10" s="94">
        <v>1292</v>
      </c>
      <c r="J10" s="95">
        <v>44986</v>
      </c>
      <c r="K10" s="95">
        <v>45106</v>
      </c>
      <c r="L10" s="96">
        <v>0</v>
      </c>
    </row>
    <row r="11" spans="1:12" ht="18">
      <c r="A11" s="93" t="s">
        <v>66</v>
      </c>
      <c r="B11" s="93" t="s">
        <v>56</v>
      </c>
      <c r="C11" s="93" t="s">
        <v>63</v>
      </c>
      <c r="D11" s="93">
        <v>5335</v>
      </c>
      <c r="E11" s="93" t="s">
        <v>67</v>
      </c>
      <c r="F11" s="93">
        <v>50238</v>
      </c>
      <c r="G11" s="94">
        <v>0</v>
      </c>
      <c r="H11" s="94">
        <v>50238</v>
      </c>
      <c r="I11" s="94">
        <v>35164</v>
      </c>
      <c r="J11" s="95">
        <v>44970</v>
      </c>
      <c r="K11" s="95">
        <v>45059</v>
      </c>
      <c r="L11" s="96">
        <v>268.01972999999998</v>
      </c>
    </row>
    <row r="12" spans="1:12" ht="18">
      <c r="A12" s="93" t="s">
        <v>66</v>
      </c>
      <c r="B12" s="93" t="s">
        <v>56</v>
      </c>
      <c r="C12" s="93" t="s">
        <v>63</v>
      </c>
      <c r="D12" s="93">
        <v>5335</v>
      </c>
      <c r="E12" s="93" t="s">
        <v>59</v>
      </c>
      <c r="F12" s="93">
        <v>388000</v>
      </c>
      <c r="G12" s="94">
        <v>0</v>
      </c>
      <c r="H12" s="94">
        <v>328449.83020000003</v>
      </c>
      <c r="I12" s="94">
        <v>168797</v>
      </c>
      <c r="J12" s="95">
        <v>44995</v>
      </c>
      <c r="K12" s="95">
        <v>45084</v>
      </c>
      <c r="L12" s="96">
        <v>1752.279844117</v>
      </c>
    </row>
    <row r="13" spans="1:12" ht="18">
      <c r="A13" s="93" t="s">
        <v>66</v>
      </c>
      <c r="B13" s="93" t="s">
        <v>56</v>
      </c>
      <c r="C13" s="93" t="s">
        <v>63</v>
      </c>
      <c r="D13" s="93">
        <v>5335</v>
      </c>
      <c r="E13" s="93" t="s">
        <v>68</v>
      </c>
      <c r="F13" s="93">
        <v>122933</v>
      </c>
      <c r="G13" s="94">
        <v>0</v>
      </c>
      <c r="H13" s="94">
        <v>63132.1</v>
      </c>
      <c r="I13" s="94">
        <v>37563</v>
      </c>
      <c r="J13" s="95">
        <v>44970</v>
      </c>
      <c r="K13" s="95">
        <v>45059</v>
      </c>
      <c r="L13" s="96">
        <v>336.8097535</v>
      </c>
    </row>
    <row r="14" spans="1:12" ht="18">
      <c r="A14" s="93" t="s">
        <v>66</v>
      </c>
      <c r="B14" s="93" t="s">
        <v>56</v>
      </c>
      <c r="C14" s="97" t="s">
        <v>63</v>
      </c>
      <c r="D14" s="97">
        <v>5335</v>
      </c>
      <c r="E14" s="97" t="s">
        <v>69</v>
      </c>
      <c r="F14" s="97">
        <v>117000</v>
      </c>
      <c r="G14" s="99">
        <v>0</v>
      </c>
      <c r="H14" s="99">
        <v>79536.649999999994</v>
      </c>
      <c r="I14" s="99">
        <v>66043</v>
      </c>
      <c r="J14" s="100">
        <v>44972</v>
      </c>
      <c r="K14" s="100">
        <v>45061</v>
      </c>
      <c r="L14" s="98">
        <v>424.32802774999993</v>
      </c>
    </row>
    <row r="15" spans="1:12" ht="18">
      <c r="A15" s="93" t="s">
        <v>66</v>
      </c>
      <c r="B15" s="93" t="s">
        <v>56</v>
      </c>
      <c r="C15" s="97" t="s">
        <v>63</v>
      </c>
      <c r="D15" s="97">
        <v>5335</v>
      </c>
      <c r="E15" s="97" t="s">
        <v>70</v>
      </c>
      <c r="F15" s="97">
        <v>810088</v>
      </c>
      <c r="G15" s="99">
        <v>0</v>
      </c>
      <c r="H15" s="99">
        <v>772857.96200000006</v>
      </c>
      <c r="I15" s="99">
        <v>392768</v>
      </c>
      <c r="J15" s="100">
        <v>44999</v>
      </c>
      <c r="K15" s="100">
        <v>45088</v>
      </c>
      <c r="L15" s="98">
        <v>4123.1972272700004</v>
      </c>
    </row>
    <row r="16" spans="1:12" ht="18">
      <c r="A16" s="93" t="s">
        <v>66</v>
      </c>
      <c r="B16" s="93" t="s">
        <v>56</v>
      </c>
      <c r="C16" s="97" t="s">
        <v>63</v>
      </c>
      <c r="D16" s="97">
        <v>5335</v>
      </c>
      <c r="E16" s="97" t="s">
        <v>60</v>
      </c>
      <c r="F16" s="97">
        <v>10175</v>
      </c>
      <c r="G16" s="99">
        <v>0</v>
      </c>
      <c r="H16" s="99">
        <v>0</v>
      </c>
      <c r="I16" s="99">
        <v>0</v>
      </c>
      <c r="J16" s="100">
        <v>45017</v>
      </c>
      <c r="K16" s="100">
        <v>45056</v>
      </c>
      <c r="L16" s="98">
        <v>0</v>
      </c>
    </row>
    <row r="17" spans="1:12" ht="18">
      <c r="A17" s="93" t="s">
        <v>66</v>
      </c>
      <c r="B17" s="93" t="s">
        <v>56</v>
      </c>
      <c r="C17" s="97" t="s">
        <v>63</v>
      </c>
      <c r="D17" s="97">
        <v>5335</v>
      </c>
      <c r="E17" s="97" t="s">
        <v>58</v>
      </c>
      <c r="F17" s="97">
        <v>892210</v>
      </c>
      <c r="G17" s="99">
        <v>0</v>
      </c>
      <c r="H17" s="99">
        <v>795997.0294</v>
      </c>
      <c r="I17" s="99">
        <v>223818</v>
      </c>
      <c r="J17" s="100">
        <v>45010</v>
      </c>
      <c r="K17" s="100">
        <v>45077</v>
      </c>
      <c r="L17" s="98">
        <v>4246.6441518490001</v>
      </c>
    </row>
    <row r="18" spans="1:12" ht="18">
      <c r="A18" s="93" t="s">
        <v>66</v>
      </c>
      <c r="B18" s="93" t="s">
        <v>56</v>
      </c>
      <c r="C18" s="97" t="s">
        <v>63</v>
      </c>
      <c r="D18" s="97">
        <v>5335</v>
      </c>
      <c r="E18" s="97" t="s">
        <v>71</v>
      </c>
      <c r="F18" s="97">
        <v>212505</v>
      </c>
      <c r="G18" s="99">
        <v>0</v>
      </c>
      <c r="H18" s="99">
        <v>15584.9434</v>
      </c>
      <c r="I18" s="99">
        <v>7270</v>
      </c>
      <c r="J18" s="100">
        <v>45018</v>
      </c>
      <c r="K18" s="100">
        <v>45107</v>
      </c>
      <c r="L18" s="98">
        <v>83.145673039000002</v>
      </c>
    </row>
    <row r="19" spans="1:12" ht="18">
      <c r="A19" s="93" t="s">
        <v>66</v>
      </c>
      <c r="B19" s="93" t="s">
        <v>56</v>
      </c>
      <c r="C19" s="97" t="s">
        <v>63</v>
      </c>
      <c r="D19" s="97">
        <v>5335</v>
      </c>
      <c r="E19" s="97" t="s">
        <v>72</v>
      </c>
      <c r="F19" s="97">
        <v>665028</v>
      </c>
      <c r="G19" s="99">
        <v>0</v>
      </c>
      <c r="H19" s="99">
        <v>247318.15400000001</v>
      </c>
      <c r="I19" s="99">
        <v>97967</v>
      </c>
      <c r="J19" s="100">
        <v>45017</v>
      </c>
      <c r="K19" s="100">
        <v>45106</v>
      </c>
      <c r="L19" s="98">
        <v>1319.44235159</v>
      </c>
    </row>
    <row r="20" spans="1:12" ht="18">
      <c r="A20" s="93" t="s">
        <v>66</v>
      </c>
      <c r="B20" s="93" t="s">
        <v>56</v>
      </c>
      <c r="C20" s="97" t="s">
        <v>63</v>
      </c>
      <c r="D20" s="97">
        <v>5335</v>
      </c>
      <c r="E20" s="97" t="s">
        <v>73</v>
      </c>
      <c r="F20" s="97">
        <v>12305</v>
      </c>
      <c r="G20" s="99">
        <v>0</v>
      </c>
      <c r="H20" s="99">
        <v>0</v>
      </c>
      <c r="I20" s="99">
        <v>0</v>
      </c>
      <c r="J20" s="100">
        <v>45036</v>
      </c>
      <c r="K20" s="100">
        <v>45075</v>
      </c>
      <c r="L20" s="98">
        <v>0</v>
      </c>
    </row>
    <row r="21" spans="1:12" ht="18">
      <c r="A21" s="93" t="s">
        <v>74</v>
      </c>
      <c r="B21" s="93" t="s">
        <v>56</v>
      </c>
      <c r="C21" s="97" t="s">
        <v>63</v>
      </c>
      <c r="D21" s="97">
        <v>6000</v>
      </c>
      <c r="E21" s="97" t="s">
        <v>58</v>
      </c>
      <c r="F21" s="97">
        <v>157038</v>
      </c>
      <c r="G21" s="99">
        <v>0</v>
      </c>
      <c r="H21" s="99">
        <v>64460.921000000002</v>
      </c>
      <c r="I21" s="99">
        <v>39107</v>
      </c>
      <c r="J21" s="100">
        <v>45010</v>
      </c>
      <c r="K21" s="100">
        <v>45077</v>
      </c>
      <c r="L21" s="98">
        <v>386.76552600000002</v>
      </c>
    </row>
    <row r="22" spans="1:12" ht="18">
      <c r="A22" s="93" t="s">
        <v>74</v>
      </c>
      <c r="B22" s="93" t="s">
        <v>56</v>
      </c>
      <c r="C22" s="97" t="s">
        <v>63</v>
      </c>
      <c r="D22" s="97">
        <v>6000</v>
      </c>
      <c r="E22" s="97" t="s">
        <v>71</v>
      </c>
      <c r="F22" s="97">
        <v>149435</v>
      </c>
      <c r="G22" s="99">
        <v>0</v>
      </c>
      <c r="H22" s="99">
        <v>12013.650799999999</v>
      </c>
      <c r="I22" s="99">
        <v>5692</v>
      </c>
      <c r="J22" s="100">
        <v>45018</v>
      </c>
      <c r="K22" s="100">
        <v>45107</v>
      </c>
      <c r="L22" s="98">
        <v>72.081904800000004</v>
      </c>
    </row>
    <row r="23" spans="1:12" ht="18">
      <c r="A23" s="97" t="s">
        <v>74</v>
      </c>
      <c r="B23" s="97" t="s">
        <v>56</v>
      </c>
      <c r="C23" s="97" t="s">
        <v>63</v>
      </c>
      <c r="D23" s="97">
        <v>6000</v>
      </c>
      <c r="E23" s="97" t="s">
        <v>73</v>
      </c>
      <c r="F23" s="97">
        <v>28375</v>
      </c>
      <c r="G23" s="99">
        <v>0</v>
      </c>
      <c r="H23" s="99">
        <v>0</v>
      </c>
      <c r="I23" s="99">
        <v>0</v>
      </c>
      <c r="J23" s="100">
        <v>45036</v>
      </c>
      <c r="K23" s="100">
        <v>45075</v>
      </c>
      <c r="L23" s="98">
        <v>0</v>
      </c>
    </row>
    <row r="24" spans="1:12" ht="18">
      <c r="A24" s="97" t="s">
        <v>75</v>
      </c>
      <c r="B24" s="97" t="s">
        <v>56</v>
      </c>
      <c r="C24" s="97" t="s">
        <v>63</v>
      </c>
      <c r="D24" s="97">
        <v>5450</v>
      </c>
      <c r="E24" s="97" t="s">
        <v>59</v>
      </c>
      <c r="F24" s="97">
        <v>125300</v>
      </c>
      <c r="G24" s="99">
        <v>0</v>
      </c>
      <c r="H24" s="99">
        <v>84336.966799999995</v>
      </c>
      <c r="I24" s="99">
        <v>24252</v>
      </c>
      <c r="J24" s="100">
        <v>44995</v>
      </c>
      <c r="K24" s="100">
        <v>45104</v>
      </c>
      <c r="L24" s="98">
        <v>459.63646905999997</v>
      </c>
    </row>
    <row r="25" spans="1:12" ht="18">
      <c r="A25" s="97" t="s">
        <v>75</v>
      </c>
      <c r="B25" s="97" t="s">
        <v>56</v>
      </c>
      <c r="C25" s="97" t="s">
        <v>63</v>
      </c>
      <c r="D25" s="97">
        <v>5450</v>
      </c>
      <c r="E25" s="97" t="s">
        <v>60</v>
      </c>
      <c r="F25" s="97">
        <v>347105</v>
      </c>
      <c r="G25" s="99">
        <v>0</v>
      </c>
      <c r="H25" s="99">
        <v>341758.49</v>
      </c>
      <c r="I25" s="99">
        <v>183758</v>
      </c>
      <c r="J25" s="100">
        <v>45005</v>
      </c>
      <c r="K25" s="100">
        <v>45047</v>
      </c>
      <c r="L25" s="98">
        <v>1862.5837704999999</v>
      </c>
    </row>
    <row r="26" spans="1:12" ht="18">
      <c r="A26" s="97" t="s">
        <v>75</v>
      </c>
      <c r="B26" s="97" t="s">
        <v>56</v>
      </c>
      <c r="C26" s="97" t="s">
        <v>63</v>
      </c>
      <c r="D26" s="97">
        <v>5450</v>
      </c>
      <c r="E26" s="97" t="s">
        <v>72</v>
      </c>
      <c r="F26" s="97">
        <v>1519318</v>
      </c>
      <c r="G26" s="99">
        <v>0</v>
      </c>
      <c r="H26" s="99">
        <v>485709.45</v>
      </c>
      <c r="I26" s="99">
        <v>183209</v>
      </c>
      <c r="J26" s="100">
        <v>45017</v>
      </c>
      <c r="K26" s="100">
        <v>45131</v>
      </c>
      <c r="L26" s="98">
        <v>2647.1165025</v>
      </c>
    </row>
    <row r="27" spans="1:12" ht="18">
      <c r="A27" s="97" t="s">
        <v>75</v>
      </c>
      <c r="B27" s="97" t="s">
        <v>56</v>
      </c>
      <c r="C27" s="97" t="s">
        <v>63</v>
      </c>
      <c r="D27" s="97">
        <v>5450</v>
      </c>
      <c r="E27" s="97" t="s">
        <v>58</v>
      </c>
      <c r="F27" s="97">
        <v>481615</v>
      </c>
      <c r="G27" s="99">
        <v>0</v>
      </c>
      <c r="H27" s="99">
        <v>167090.96100000001</v>
      </c>
      <c r="I27" s="99">
        <v>48964</v>
      </c>
      <c r="J27" s="100">
        <v>45010</v>
      </c>
      <c r="K27" s="100">
        <v>45077</v>
      </c>
      <c r="L27" s="98">
        <v>910.64573745000007</v>
      </c>
    </row>
    <row r="28" spans="1:12" ht="18">
      <c r="A28" s="97" t="s">
        <v>75</v>
      </c>
      <c r="B28" s="97" t="s">
        <v>56</v>
      </c>
      <c r="C28" s="97" t="s">
        <v>63</v>
      </c>
      <c r="D28" s="97">
        <v>5450</v>
      </c>
      <c r="E28" s="97" t="s">
        <v>71</v>
      </c>
      <c r="F28" s="97">
        <v>304723</v>
      </c>
      <c r="G28" s="99">
        <v>0</v>
      </c>
      <c r="H28" s="99">
        <v>32368.374100000001</v>
      </c>
      <c r="I28" s="99">
        <v>12648</v>
      </c>
      <c r="J28" s="100">
        <v>45018</v>
      </c>
      <c r="K28" s="100">
        <v>45107</v>
      </c>
      <c r="L28" s="98">
        <v>176.40763884500001</v>
      </c>
    </row>
    <row r="29" spans="1:12" ht="18">
      <c r="A29" s="97" t="s">
        <v>75</v>
      </c>
      <c r="B29" s="97" t="s">
        <v>56</v>
      </c>
      <c r="C29" s="97" t="s">
        <v>63</v>
      </c>
      <c r="D29" s="97">
        <v>5450</v>
      </c>
      <c r="E29" s="97" t="s">
        <v>76</v>
      </c>
      <c r="F29" s="97">
        <v>45793</v>
      </c>
      <c r="G29" s="99">
        <v>0</v>
      </c>
      <c r="H29" s="99">
        <v>3296</v>
      </c>
      <c r="I29" s="99">
        <v>1066</v>
      </c>
      <c r="J29" s="100">
        <v>45075</v>
      </c>
      <c r="K29" s="100">
        <v>45184</v>
      </c>
      <c r="L29" s="98">
        <v>17.963200000000001</v>
      </c>
    </row>
    <row r="30" spans="1:12" ht="18">
      <c r="A30" s="93" t="s">
        <v>77</v>
      </c>
      <c r="B30" s="93" t="s">
        <v>56</v>
      </c>
      <c r="C30" s="93" t="s">
        <v>63</v>
      </c>
      <c r="D30" s="93">
        <v>5850</v>
      </c>
      <c r="E30" s="93" t="s">
        <v>65</v>
      </c>
      <c r="F30" s="93">
        <v>12505</v>
      </c>
      <c r="G30" s="99">
        <v>0</v>
      </c>
      <c r="H30" s="99">
        <v>118.30000000000001</v>
      </c>
      <c r="I30" s="99">
        <v>152</v>
      </c>
      <c r="J30" s="95">
        <v>45068</v>
      </c>
      <c r="K30" s="95">
        <v>45167</v>
      </c>
      <c r="L30" s="98">
        <v>0.69205500000000009</v>
      </c>
    </row>
    <row r="31" spans="1:12" ht="18">
      <c r="A31" s="93" t="s">
        <v>78</v>
      </c>
      <c r="B31" s="93" t="s">
        <v>56</v>
      </c>
      <c r="C31" s="93" t="s">
        <v>63</v>
      </c>
      <c r="D31" s="93">
        <v>6400</v>
      </c>
      <c r="E31" s="93" t="s">
        <v>67</v>
      </c>
      <c r="F31" s="93">
        <v>6500</v>
      </c>
      <c r="G31" s="94">
        <v>0</v>
      </c>
      <c r="H31" s="94">
        <v>6500</v>
      </c>
      <c r="I31" s="94">
        <v>5214</v>
      </c>
      <c r="J31" s="95">
        <v>44988</v>
      </c>
      <c r="K31" s="95">
        <v>45077</v>
      </c>
      <c r="L31" s="98">
        <v>41.6</v>
      </c>
    </row>
    <row r="32" spans="1:12" ht="18">
      <c r="A32" s="93" t="s">
        <v>78</v>
      </c>
      <c r="B32" s="93" t="s">
        <v>56</v>
      </c>
      <c r="C32" s="93" t="s">
        <v>63</v>
      </c>
      <c r="D32" s="93">
        <v>6400</v>
      </c>
      <c r="E32" s="93" t="s">
        <v>65</v>
      </c>
      <c r="F32" s="93">
        <v>4805</v>
      </c>
      <c r="G32" s="94">
        <v>0</v>
      </c>
      <c r="H32" s="94">
        <v>81.715999999999994</v>
      </c>
      <c r="I32" s="94">
        <v>156</v>
      </c>
      <c r="J32" s="95">
        <v>45068</v>
      </c>
      <c r="K32" s="95">
        <v>45167</v>
      </c>
      <c r="L32" s="98">
        <v>0.52298239999999996</v>
      </c>
    </row>
    <row r="33" spans="1:12" ht="18">
      <c r="A33" s="93" t="s">
        <v>78</v>
      </c>
      <c r="B33" s="93" t="s">
        <v>56</v>
      </c>
      <c r="C33" s="93" t="s">
        <v>63</v>
      </c>
      <c r="D33" s="93">
        <v>6400</v>
      </c>
      <c r="E33" s="93" t="s">
        <v>60</v>
      </c>
      <c r="F33" s="93">
        <v>5008</v>
      </c>
      <c r="G33" s="94">
        <v>0</v>
      </c>
      <c r="H33" s="94">
        <v>0</v>
      </c>
      <c r="I33" s="94">
        <v>0</v>
      </c>
      <c r="J33" s="95">
        <v>45078</v>
      </c>
      <c r="K33" s="95">
        <v>45107</v>
      </c>
      <c r="L33" s="98">
        <v>0</v>
      </c>
    </row>
    <row r="34" spans="1:12" ht="18">
      <c r="A34" s="93" t="s">
        <v>83</v>
      </c>
      <c r="B34" s="93" t="s">
        <v>56</v>
      </c>
      <c r="C34" s="93" t="s">
        <v>63</v>
      </c>
      <c r="D34" s="93">
        <v>5450</v>
      </c>
      <c r="E34" s="93" t="s">
        <v>69</v>
      </c>
      <c r="F34" s="93">
        <v>7898</v>
      </c>
      <c r="G34" s="94">
        <v>0</v>
      </c>
      <c r="H34" s="94">
        <v>1629.68</v>
      </c>
      <c r="I34" s="94">
        <v>1292</v>
      </c>
      <c r="J34" s="95">
        <v>45062</v>
      </c>
      <c r="K34" s="95">
        <v>45169</v>
      </c>
      <c r="L34" s="98">
        <v>9.2076919999999998</v>
      </c>
    </row>
    <row r="35" spans="1:12" ht="18">
      <c r="A35" s="93" t="s">
        <v>79</v>
      </c>
      <c r="B35" s="93" t="s">
        <v>56</v>
      </c>
      <c r="C35" s="93">
        <v>2023</v>
      </c>
      <c r="D35" s="93">
        <v>11750</v>
      </c>
      <c r="E35" s="93" t="s">
        <v>69</v>
      </c>
      <c r="F35" s="93">
        <f>'Kharif-2023'!D42</f>
        <v>54750</v>
      </c>
      <c r="G35" s="96">
        <f>'Kharif-2023'!Q47</f>
        <v>0</v>
      </c>
      <c r="H35" s="94">
        <f>'Kharif-2023'!L42</f>
        <v>50184.08</v>
      </c>
      <c r="I35" s="194">
        <f>'Kharif-2023'!P42</f>
        <v>35235</v>
      </c>
      <c r="J35" s="95">
        <v>44953</v>
      </c>
      <c r="K35" s="95">
        <v>45133</v>
      </c>
      <c r="L35" s="98">
        <f>'Kharif-2023'!M42</f>
        <v>589.66294000000005</v>
      </c>
    </row>
    <row r="36" spans="1:12" ht="18">
      <c r="A36" s="93" t="s">
        <v>79</v>
      </c>
      <c r="B36" s="93" t="s">
        <v>56</v>
      </c>
      <c r="C36" s="93">
        <v>2023</v>
      </c>
      <c r="D36" s="93">
        <v>11750</v>
      </c>
      <c r="E36" s="93" t="s">
        <v>64</v>
      </c>
      <c r="F36" s="93">
        <f>'Kharif-2023'!D45</f>
        <v>2000</v>
      </c>
      <c r="G36" s="195">
        <f>'Kharif-2023'!Q45</f>
        <v>0</v>
      </c>
      <c r="H36" s="96">
        <f>'Kharif-2023'!L45</f>
        <v>0</v>
      </c>
      <c r="I36" s="195">
        <f>'Kharif-2023'!Q45</f>
        <v>0</v>
      </c>
      <c r="J36" s="95">
        <v>45017</v>
      </c>
      <c r="K36" s="95">
        <v>45196</v>
      </c>
      <c r="L36" s="98">
        <f>'Kharif-2023'!M45</f>
        <v>0</v>
      </c>
    </row>
    <row r="37" spans="1:12" ht="18">
      <c r="A37" s="93" t="s">
        <v>80</v>
      </c>
      <c r="B37" s="93" t="s">
        <v>56</v>
      </c>
      <c r="C37" s="93">
        <v>2023</v>
      </c>
      <c r="D37" s="93">
        <v>10860</v>
      </c>
      <c r="E37" s="93" t="s">
        <v>64</v>
      </c>
      <c r="F37" s="93">
        <f>'Kharif-2023'!D44</f>
        <v>88000</v>
      </c>
      <c r="G37" s="96">
        <f>'Kharif-2023'!Q44</f>
        <v>984.89850000000297</v>
      </c>
      <c r="H37" s="96">
        <f>'Kharif-2023'!L44</f>
        <v>59312.578500000003</v>
      </c>
      <c r="I37" s="94">
        <f>'Kharif-2023'!P44</f>
        <v>33076</v>
      </c>
      <c r="J37" s="95">
        <v>45017</v>
      </c>
      <c r="K37" s="95">
        <v>45196</v>
      </c>
      <c r="L37" s="98">
        <f>'Kharif-2023'!M44</f>
        <v>644.13460251000004</v>
      </c>
    </row>
    <row r="38" spans="1:12" ht="18">
      <c r="A38" s="93" t="s">
        <v>80</v>
      </c>
      <c r="B38" s="93" t="s">
        <v>56</v>
      </c>
      <c r="C38" s="93">
        <v>2023</v>
      </c>
      <c r="D38" s="93">
        <v>10860</v>
      </c>
      <c r="E38" s="93" t="s">
        <v>82</v>
      </c>
      <c r="F38" s="93">
        <f>'Kharif-2023'!D49</f>
        <v>50000</v>
      </c>
      <c r="G38" s="96">
        <f>'Kharif-2023'!Q49</f>
        <v>12.988300000000095</v>
      </c>
      <c r="H38" s="96">
        <f>'Kharif-2023'!L49</f>
        <v>643.8583000000001</v>
      </c>
      <c r="I38" s="94">
        <f>'Kharif-2023'!P49</f>
        <v>3327</v>
      </c>
      <c r="J38" s="95">
        <v>45106</v>
      </c>
      <c r="K38" s="95">
        <v>45286</v>
      </c>
      <c r="L38" s="96">
        <f>'Kharif-2023'!M49</f>
        <v>6.9923011380000011</v>
      </c>
    </row>
    <row r="39" spans="1:12" ht="18">
      <c r="A39" s="93" t="s">
        <v>80</v>
      </c>
      <c r="B39" s="93" t="s">
        <v>56</v>
      </c>
      <c r="C39" s="93">
        <v>2023</v>
      </c>
      <c r="D39" s="93">
        <v>10860</v>
      </c>
      <c r="E39" s="93" t="s">
        <v>84</v>
      </c>
      <c r="F39" s="93">
        <f>'Kharif-2023'!D47</f>
        <v>3000</v>
      </c>
      <c r="G39" s="96">
        <f>'Kharif-2023'!Q47</f>
        <v>0</v>
      </c>
      <c r="H39" s="96">
        <f>'Kharif-2023'!L47</f>
        <v>85.906000000000006</v>
      </c>
      <c r="I39" s="94">
        <f>'Kharif-2023'!P49</f>
        <v>3327</v>
      </c>
      <c r="J39" s="95">
        <v>45108</v>
      </c>
      <c r="K39" s="95">
        <v>45290</v>
      </c>
      <c r="L39" s="96">
        <f>'Kharif-2023'!M47</f>
        <v>0.93293915999999999</v>
      </c>
    </row>
    <row r="40" spans="1:12">
      <c r="H40">
        <f>SUM(H2:H39)</f>
        <v>3944339.0005600005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B1:O71"/>
  <sheetViews>
    <sheetView zoomScale="80" zoomScaleNormal="80" zoomScaleSheetLayoutView="85" workbookViewId="0">
      <selection activeCell="B2" sqref="B2:J63"/>
    </sheetView>
  </sheetViews>
  <sheetFormatPr defaultColWidth="9.140625" defaultRowHeight="15"/>
  <cols>
    <col min="1" max="1" width="9.140625" style="1"/>
    <col min="2" max="2" width="7" style="1" customWidth="1"/>
    <col min="3" max="3" width="16.140625" style="1" customWidth="1"/>
    <col min="4" max="4" width="20.85546875" style="1" customWidth="1"/>
    <col min="5" max="5" width="16.7109375" style="1" customWidth="1"/>
    <col min="6" max="6" width="16" style="1" customWidth="1"/>
    <col min="7" max="7" width="17.7109375" style="1" customWidth="1"/>
    <col min="8" max="8" width="14.140625" style="1" customWidth="1"/>
    <col min="9" max="9" width="29.85546875" style="1" customWidth="1"/>
    <col min="10" max="10" width="14.28515625" style="1" customWidth="1"/>
    <col min="11" max="11" width="17" style="1" customWidth="1"/>
    <col min="12" max="12" width="17" style="1" hidden="1" customWidth="1"/>
    <col min="13" max="13" width="18" style="1" customWidth="1"/>
    <col min="14" max="14" width="20.28515625" style="1" customWidth="1"/>
    <col min="15" max="15" width="10.5703125" style="1" bestFit="1" customWidth="1"/>
    <col min="16" max="16384" width="9.140625" style="1"/>
  </cols>
  <sheetData>
    <row r="1" spans="2:15" ht="19.5" customHeight="1">
      <c r="D1" s="321"/>
      <c r="E1" s="321"/>
      <c r="F1" s="321"/>
    </row>
    <row r="2" spans="2:15" ht="33" customHeight="1">
      <c r="B2" s="660" t="s">
        <v>173</v>
      </c>
      <c r="C2" s="660"/>
      <c r="D2" s="660"/>
      <c r="E2" s="660"/>
      <c r="F2" s="660"/>
      <c r="G2" s="660"/>
      <c r="H2" s="660"/>
      <c r="I2" s="660"/>
      <c r="J2" s="660"/>
      <c r="K2" s="391"/>
      <c r="L2" s="392"/>
    </row>
    <row r="3" spans="2:15" ht="24.75" customHeight="1" thickBot="1">
      <c r="B3" s="661" t="s">
        <v>181</v>
      </c>
      <c r="C3" s="661"/>
      <c r="H3" s="268"/>
      <c r="J3" s="289" t="s">
        <v>136</v>
      </c>
      <c r="K3" s="289"/>
      <c r="L3" s="289"/>
    </row>
    <row r="4" spans="2:15" ht="73.5" customHeight="1">
      <c r="B4" s="397" t="s">
        <v>132</v>
      </c>
      <c r="C4" s="389" t="s">
        <v>0</v>
      </c>
      <c r="D4" s="398" t="s">
        <v>1</v>
      </c>
      <c r="E4" s="389" t="s">
        <v>137</v>
      </c>
      <c r="F4" s="389" t="s">
        <v>131</v>
      </c>
      <c r="G4" s="399" t="s">
        <v>135</v>
      </c>
      <c r="H4" s="399" t="s">
        <v>24</v>
      </c>
      <c r="I4" s="399" t="s">
        <v>88</v>
      </c>
      <c r="J4" s="389" t="s">
        <v>138</v>
      </c>
      <c r="K4" s="411" t="s">
        <v>189</v>
      </c>
      <c r="L4" s="412" t="s">
        <v>190</v>
      </c>
    </row>
    <row r="5" spans="2:15" ht="27.2" customHeight="1">
      <c r="B5" s="664" t="s">
        <v>156</v>
      </c>
      <c r="C5" s="665"/>
      <c r="D5" s="298"/>
      <c r="E5" s="299"/>
      <c r="F5" s="300"/>
      <c r="G5" s="277"/>
      <c r="H5" s="273"/>
      <c r="I5" s="301"/>
      <c r="J5" s="300"/>
      <c r="K5" s="400"/>
      <c r="L5" s="413"/>
    </row>
    <row r="6" spans="2:15" ht="27.2" customHeight="1">
      <c r="B6" s="666">
        <v>1</v>
      </c>
      <c r="C6" s="657" t="s">
        <v>147</v>
      </c>
      <c r="D6" s="275" t="s">
        <v>101</v>
      </c>
      <c r="E6" s="272"/>
      <c r="F6" s="282">
        <f t="shared" ref="F6:F11" si="0">M6</f>
        <v>0</v>
      </c>
      <c r="G6" s="373">
        <v>3496.6</v>
      </c>
      <c r="H6" s="375">
        <v>1081</v>
      </c>
      <c r="I6" s="283"/>
      <c r="J6" s="282">
        <v>33.525491000000009</v>
      </c>
      <c r="K6" s="401"/>
      <c r="L6" s="414"/>
      <c r="M6" s="11">
        <f t="shared" ref="M6:M11" si="1">G6-N6</f>
        <v>0</v>
      </c>
      <c r="N6" s="373">
        <v>3496.6</v>
      </c>
    </row>
    <row r="7" spans="2:15" ht="27.2" customHeight="1">
      <c r="B7" s="667"/>
      <c r="C7" s="641"/>
      <c r="D7" s="275" t="s">
        <v>86</v>
      </c>
      <c r="E7" s="272"/>
      <c r="F7" s="282">
        <f t="shared" si="0"/>
        <v>0</v>
      </c>
      <c r="G7" s="374">
        <v>270.89999999999998</v>
      </c>
      <c r="H7" s="375">
        <v>100</v>
      </c>
      <c r="I7" s="283"/>
      <c r="J7" s="282">
        <v>2.7787296499999998</v>
      </c>
      <c r="K7" s="401"/>
      <c r="L7" s="414"/>
      <c r="M7" s="11">
        <f t="shared" si="1"/>
        <v>0</v>
      </c>
      <c r="N7" s="374">
        <v>270.89999999999998</v>
      </c>
    </row>
    <row r="8" spans="2:15" ht="27.2" customHeight="1">
      <c r="B8" s="667"/>
      <c r="C8" s="641"/>
      <c r="D8" s="275" t="s">
        <v>123</v>
      </c>
      <c r="E8" s="272"/>
      <c r="F8" s="282">
        <f t="shared" si="0"/>
        <v>0</v>
      </c>
      <c r="G8" s="374">
        <v>697.61400000000003</v>
      </c>
      <c r="H8" s="375">
        <v>622</v>
      </c>
      <c r="I8" s="283"/>
      <c r="J8" s="282">
        <v>7.0815288189999999</v>
      </c>
      <c r="K8" s="401"/>
      <c r="L8" s="414"/>
      <c r="M8" s="11">
        <f t="shared" si="1"/>
        <v>0</v>
      </c>
      <c r="N8" s="374">
        <v>697.61400000000003</v>
      </c>
    </row>
    <row r="9" spans="2:15" ht="27.2" customHeight="1">
      <c r="B9" s="667"/>
      <c r="C9" s="641"/>
      <c r="D9" s="275" t="s">
        <v>90</v>
      </c>
      <c r="E9" s="272"/>
      <c r="F9" s="282">
        <f t="shared" si="0"/>
        <v>0</v>
      </c>
      <c r="G9" s="374">
        <v>16740.149999999998</v>
      </c>
      <c r="H9" s="375">
        <v>5454</v>
      </c>
      <c r="I9" s="283"/>
      <c r="J9" s="282">
        <v>172.64158285279399</v>
      </c>
      <c r="K9" s="401"/>
      <c r="L9" s="414"/>
      <c r="M9" s="11">
        <f t="shared" si="1"/>
        <v>0</v>
      </c>
      <c r="N9" s="374">
        <v>16740.149999999998</v>
      </c>
    </row>
    <row r="10" spans="2:15" ht="27.2" customHeight="1">
      <c r="B10" s="667"/>
      <c r="C10" s="641"/>
      <c r="D10" s="275" t="s">
        <v>128</v>
      </c>
      <c r="E10" s="272"/>
      <c r="F10" s="282">
        <f t="shared" si="0"/>
        <v>0</v>
      </c>
      <c r="G10" s="374">
        <v>54.300000000000004</v>
      </c>
      <c r="H10" s="375">
        <v>52</v>
      </c>
      <c r="I10" s="283"/>
      <c r="J10" s="282">
        <v>0.54838897899999994</v>
      </c>
      <c r="K10" s="401"/>
      <c r="L10" s="414"/>
      <c r="M10" s="11">
        <f t="shared" si="1"/>
        <v>0</v>
      </c>
      <c r="N10" s="374">
        <v>54.300000000000004</v>
      </c>
    </row>
    <row r="11" spans="2:15" ht="27.2" customHeight="1">
      <c r="B11" s="668"/>
      <c r="C11" s="669"/>
      <c r="D11" s="275" t="s">
        <v>151</v>
      </c>
      <c r="E11" s="272"/>
      <c r="F11" s="282">
        <f t="shared" si="0"/>
        <v>0</v>
      </c>
      <c r="G11" s="374">
        <v>374.2</v>
      </c>
      <c r="H11" s="376">
        <v>99</v>
      </c>
      <c r="I11" s="283"/>
      <c r="J11" s="282">
        <v>3.7190511434999998</v>
      </c>
      <c r="K11" s="402"/>
      <c r="L11" s="414"/>
      <c r="M11" s="11">
        <f t="shared" si="1"/>
        <v>0</v>
      </c>
      <c r="N11" s="374">
        <v>374.2</v>
      </c>
    </row>
    <row r="12" spans="2:15" ht="27.2" customHeight="1" thickBot="1">
      <c r="B12" s="403"/>
      <c r="C12" s="404"/>
      <c r="D12" s="405" t="s">
        <v>6</v>
      </c>
      <c r="E12" s="406"/>
      <c r="F12" s="407">
        <f>SUM(F6:F11)</f>
        <v>0</v>
      </c>
      <c r="G12" s="407">
        <f>SUM(G6:G11)</f>
        <v>21633.763999999996</v>
      </c>
      <c r="H12" s="406">
        <f>SUM(H6:H11)</f>
        <v>7408</v>
      </c>
      <c r="I12" s="408"/>
      <c r="J12" s="409">
        <f>SUM(J6:J11)</f>
        <v>220.29477244429401</v>
      </c>
      <c r="K12" s="410"/>
      <c r="L12" s="415"/>
      <c r="M12" s="320">
        <f>SUM(M6:M11)</f>
        <v>0</v>
      </c>
      <c r="N12" s="11">
        <f>SUM(N6:N10)</f>
        <v>21259.563999999995</v>
      </c>
    </row>
    <row r="13" spans="2:15" ht="15.75" customHeight="1">
      <c r="B13" s="384"/>
      <c r="C13" s="394"/>
      <c r="D13" s="395"/>
      <c r="E13" s="390"/>
      <c r="F13" s="390"/>
      <c r="G13" s="396"/>
      <c r="H13" s="396"/>
      <c r="I13" s="396"/>
      <c r="J13" s="390"/>
      <c r="K13" s="396"/>
      <c r="L13" s="416"/>
    </row>
    <row r="14" spans="2:15" ht="20.85" customHeight="1" thickBot="1">
      <c r="B14" s="662" t="s">
        <v>154</v>
      </c>
      <c r="C14" s="663"/>
      <c r="D14" s="298"/>
      <c r="E14" s="299"/>
      <c r="F14" s="300"/>
      <c r="G14" s="300"/>
      <c r="H14" s="299"/>
      <c r="I14" s="301"/>
      <c r="J14" s="300"/>
      <c r="K14" s="299"/>
      <c r="L14" s="413"/>
    </row>
    <row r="15" spans="2:15" ht="27" customHeight="1">
      <c r="B15" s="659">
        <v>1</v>
      </c>
      <c r="C15" s="658" t="s">
        <v>175</v>
      </c>
      <c r="D15" s="327" t="s">
        <v>151</v>
      </c>
      <c r="E15" s="271">
        <v>773635</v>
      </c>
      <c r="F15" s="206">
        <f t="shared" ref="F15:F21" si="2">M15</f>
        <v>1446.7299999999996</v>
      </c>
      <c r="G15" s="265">
        <v>2019.2799999999997</v>
      </c>
      <c r="H15" s="271">
        <v>1446.7299999999998</v>
      </c>
      <c r="I15" s="340" t="s">
        <v>167</v>
      </c>
      <c r="J15" s="353">
        <f>G15*5440/1000000</f>
        <v>10.984883199999999</v>
      </c>
      <c r="K15" s="271" t="s">
        <v>182</v>
      </c>
      <c r="L15" s="417"/>
      <c r="M15" s="386">
        <f t="shared" ref="M15:M21" si="3">G15-N15</f>
        <v>1446.7299999999996</v>
      </c>
      <c r="N15" s="265">
        <v>572.55000000000007</v>
      </c>
      <c r="O15" s="163"/>
    </row>
    <row r="16" spans="2:15" ht="23.25" customHeight="1">
      <c r="B16" s="652"/>
      <c r="C16" s="643"/>
      <c r="D16" s="327" t="s">
        <v>90</v>
      </c>
      <c r="E16" s="271">
        <v>324530</v>
      </c>
      <c r="F16" s="206">
        <f t="shared" si="2"/>
        <v>4.75</v>
      </c>
      <c r="G16" s="265">
        <v>123.9</v>
      </c>
      <c r="H16" s="271">
        <v>72</v>
      </c>
      <c r="I16" s="340" t="s">
        <v>166</v>
      </c>
      <c r="J16" s="353">
        <f>G16*5450/1000000</f>
        <v>0.67525500000000005</v>
      </c>
      <c r="K16" s="271" t="s">
        <v>183</v>
      </c>
      <c r="L16" s="417"/>
      <c r="M16" s="386">
        <f t="shared" si="3"/>
        <v>4.75</v>
      </c>
      <c r="N16" s="265">
        <v>119.15</v>
      </c>
      <c r="O16" s="163"/>
    </row>
    <row r="17" spans="2:15" ht="30" customHeight="1">
      <c r="B17" s="652"/>
      <c r="C17" s="643"/>
      <c r="D17" s="327" t="s">
        <v>119</v>
      </c>
      <c r="E17" s="271">
        <v>224485</v>
      </c>
      <c r="F17" s="206">
        <f t="shared" si="2"/>
        <v>0</v>
      </c>
      <c r="G17" s="265">
        <v>0</v>
      </c>
      <c r="H17" s="271">
        <v>0</v>
      </c>
      <c r="I17" s="340" t="s">
        <v>166</v>
      </c>
      <c r="J17" s="353"/>
      <c r="K17" s="271" t="s">
        <v>184</v>
      </c>
      <c r="L17" s="417"/>
      <c r="M17" s="386">
        <f t="shared" si="3"/>
        <v>0</v>
      </c>
      <c r="N17" s="265">
        <v>0</v>
      </c>
      <c r="O17" s="163"/>
    </row>
    <row r="18" spans="2:15" ht="30" customHeight="1">
      <c r="B18" s="652"/>
      <c r="C18" s="643"/>
      <c r="D18" s="275" t="s">
        <v>86</v>
      </c>
      <c r="E18" s="272">
        <v>139740</v>
      </c>
      <c r="F18" s="206">
        <f>M18</f>
        <v>0</v>
      </c>
      <c r="G18" s="265"/>
      <c r="H18" s="271"/>
      <c r="I18" s="371" t="s">
        <v>21</v>
      </c>
      <c r="J18" s="353"/>
      <c r="K18" s="271" t="s">
        <v>185</v>
      </c>
      <c r="L18" s="417"/>
      <c r="M18" s="386">
        <f t="shared" si="3"/>
        <v>0</v>
      </c>
      <c r="N18" s="265"/>
      <c r="O18" s="163"/>
    </row>
    <row r="19" spans="2:15" ht="30" customHeight="1">
      <c r="B19" s="652"/>
      <c r="C19" s="643"/>
      <c r="D19" s="275" t="s">
        <v>127</v>
      </c>
      <c r="E19" s="272">
        <v>666750</v>
      </c>
      <c r="F19" s="206">
        <f t="shared" si="2"/>
        <v>0</v>
      </c>
      <c r="G19" s="265"/>
      <c r="H19" s="271"/>
      <c r="I19" s="371" t="s">
        <v>21</v>
      </c>
      <c r="J19" s="353"/>
      <c r="K19" s="271" t="s">
        <v>186</v>
      </c>
      <c r="L19" s="417"/>
      <c r="M19" s="386">
        <f t="shared" si="3"/>
        <v>0</v>
      </c>
      <c r="N19" s="265"/>
      <c r="O19" s="163"/>
    </row>
    <row r="20" spans="2:15" ht="39.75" customHeight="1">
      <c r="B20" s="652"/>
      <c r="C20" s="643"/>
      <c r="D20" s="327" t="s">
        <v>126</v>
      </c>
      <c r="E20" s="271">
        <v>452365</v>
      </c>
      <c r="F20" s="206">
        <f t="shared" si="2"/>
        <v>106.79999999999995</v>
      </c>
      <c r="G20" s="265">
        <v>666.65</v>
      </c>
      <c r="H20" s="271">
        <v>319</v>
      </c>
      <c r="I20" s="340" t="s">
        <v>170</v>
      </c>
      <c r="J20" s="282"/>
      <c r="K20" s="271">
        <v>5800</v>
      </c>
      <c r="L20" s="417"/>
      <c r="M20" s="386">
        <f t="shared" si="3"/>
        <v>106.79999999999995</v>
      </c>
      <c r="N20" s="265">
        <v>559.85</v>
      </c>
      <c r="O20" s="163"/>
    </row>
    <row r="21" spans="2:15" ht="30" customHeight="1">
      <c r="B21" s="652"/>
      <c r="C21" s="643"/>
      <c r="D21" s="327" t="s">
        <v>123</v>
      </c>
      <c r="E21" s="271">
        <v>58015</v>
      </c>
      <c r="F21" s="206">
        <f t="shared" si="2"/>
        <v>148.5</v>
      </c>
      <c r="G21" s="265">
        <v>302.55</v>
      </c>
      <c r="H21" s="271">
        <v>195</v>
      </c>
      <c r="I21" s="340" t="s">
        <v>165</v>
      </c>
      <c r="J21" s="353">
        <f>G21*5450/1000000</f>
        <v>1.6488974999999999</v>
      </c>
      <c r="K21" s="271" t="s">
        <v>187</v>
      </c>
      <c r="L21" s="417"/>
      <c r="M21" s="386">
        <f t="shared" si="3"/>
        <v>148.5</v>
      </c>
      <c r="N21" s="265">
        <v>154.05000000000001</v>
      </c>
      <c r="O21" s="163"/>
    </row>
    <row r="22" spans="2:15" ht="30" customHeight="1">
      <c r="B22" s="652"/>
      <c r="C22" s="643"/>
      <c r="D22" s="275" t="s">
        <v>101</v>
      </c>
      <c r="E22" s="272">
        <v>114163</v>
      </c>
      <c r="F22" s="287"/>
      <c r="G22" s="265"/>
      <c r="H22" s="271"/>
      <c r="I22" s="371" t="s">
        <v>21</v>
      </c>
      <c r="J22" s="353"/>
      <c r="K22" s="271"/>
      <c r="L22" s="417"/>
      <c r="M22" s="163"/>
      <c r="N22" s="265"/>
      <c r="O22" s="163"/>
    </row>
    <row r="23" spans="2:15" ht="30" customHeight="1">
      <c r="B23" s="652"/>
      <c r="C23" s="643"/>
      <c r="D23" s="343" t="s">
        <v>110</v>
      </c>
      <c r="E23" s="344">
        <v>6580</v>
      </c>
      <c r="F23" s="345"/>
      <c r="G23" s="346"/>
      <c r="H23" s="347"/>
      <c r="I23" s="348" t="s">
        <v>168</v>
      </c>
      <c r="J23" s="354"/>
      <c r="K23" s="347"/>
      <c r="L23" s="417"/>
      <c r="M23" s="163"/>
      <c r="N23" s="346"/>
      <c r="O23" s="163"/>
    </row>
    <row r="24" spans="2:15" ht="30" customHeight="1" thickBot="1">
      <c r="B24" s="355"/>
      <c r="C24" s="356"/>
      <c r="D24" s="357" t="s">
        <v>6</v>
      </c>
      <c r="E24" s="358">
        <f>SUM(E15:E23)</f>
        <v>2760263</v>
      </c>
      <c r="F24" s="359">
        <f>SUM(F15:F23)</f>
        <v>1706.7799999999995</v>
      </c>
      <c r="G24" s="359">
        <f>SUM(G15:G23)</f>
        <v>3112.38</v>
      </c>
      <c r="H24" s="358">
        <f>SUM(H15:H23)</f>
        <v>2032.7299999999998</v>
      </c>
      <c r="I24" s="360"/>
      <c r="J24" s="361">
        <f>SUM(J15:J23)</f>
        <v>13.309035699999999</v>
      </c>
      <c r="K24" s="358"/>
      <c r="L24" s="418"/>
      <c r="M24" s="163"/>
      <c r="N24" s="163"/>
      <c r="O24" s="163"/>
    </row>
    <row r="25" spans="2:15" ht="30" customHeight="1">
      <c r="B25" s="652">
        <v>2</v>
      </c>
      <c r="C25" s="643" t="s">
        <v>152</v>
      </c>
      <c r="D25" s="327" t="s">
        <v>151</v>
      </c>
      <c r="E25" s="271">
        <v>636010</v>
      </c>
      <c r="F25" s="206">
        <f>M25</f>
        <v>813.69999999999993</v>
      </c>
      <c r="G25" s="265">
        <v>1004.0999999999999</v>
      </c>
      <c r="H25" s="271">
        <v>741</v>
      </c>
      <c r="I25" s="340" t="s">
        <v>167</v>
      </c>
      <c r="J25" s="352">
        <f>G25*6425/1000000</f>
        <v>6.4513424999999991</v>
      </c>
      <c r="K25" s="271"/>
      <c r="L25" s="417"/>
      <c r="M25" s="386">
        <f>G25-N25</f>
        <v>813.69999999999993</v>
      </c>
      <c r="N25" s="265">
        <v>190.39999999999998</v>
      </c>
      <c r="O25" s="163"/>
    </row>
    <row r="26" spans="2:15" ht="30" customHeight="1">
      <c r="B26" s="652"/>
      <c r="C26" s="643"/>
      <c r="D26" s="327" t="s">
        <v>119</v>
      </c>
      <c r="E26" s="271">
        <v>516800</v>
      </c>
      <c r="F26" s="206">
        <f>M26</f>
        <v>5.33</v>
      </c>
      <c r="G26" s="265">
        <v>6.33</v>
      </c>
      <c r="H26" s="271">
        <v>6</v>
      </c>
      <c r="I26" s="340" t="s">
        <v>166</v>
      </c>
      <c r="J26" s="352">
        <f>G26*6425/1000000</f>
        <v>4.0670249999999998E-2</v>
      </c>
      <c r="K26" s="271"/>
      <c r="L26" s="417"/>
      <c r="M26" s="386">
        <f>G26-N26</f>
        <v>5.33</v>
      </c>
      <c r="N26" s="265">
        <v>1</v>
      </c>
      <c r="O26" s="163"/>
    </row>
    <row r="27" spans="2:15" ht="30" customHeight="1">
      <c r="B27" s="646"/>
      <c r="C27" s="644"/>
      <c r="D27" s="332" t="s">
        <v>6</v>
      </c>
      <c r="E27" s="333">
        <f>SUM(E25:E26)</f>
        <v>1152810</v>
      </c>
      <c r="F27" s="334">
        <f>SUM(F25:F25)</f>
        <v>813.69999999999993</v>
      </c>
      <c r="G27" s="334">
        <f>SUM(G25:G25)</f>
        <v>1004.0999999999999</v>
      </c>
      <c r="H27" s="333">
        <f>SUM(H25:H25)</f>
        <v>741</v>
      </c>
      <c r="I27" s="335"/>
      <c r="J27" s="334">
        <f>SUM(J25:J26)</f>
        <v>6.4920127499999989</v>
      </c>
      <c r="K27" s="333"/>
      <c r="L27" s="418"/>
      <c r="M27" s="163"/>
      <c r="N27" s="163"/>
      <c r="O27" s="163"/>
    </row>
    <row r="28" spans="2:15" ht="30" customHeight="1">
      <c r="B28" s="645">
        <v>3</v>
      </c>
      <c r="C28" s="642" t="s">
        <v>160</v>
      </c>
      <c r="D28" s="275" t="s">
        <v>101</v>
      </c>
      <c r="E28" s="271">
        <v>17505</v>
      </c>
      <c r="F28" s="206">
        <f>M28</f>
        <v>0</v>
      </c>
      <c r="G28" s="265">
        <v>0</v>
      </c>
      <c r="H28" s="271">
        <v>0</v>
      </c>
      <c r="I28" s="371" t="s">
        <v>21</v>
      </c>
      <c r="J28" s="282">
        <f>G28*6425/1000000</f>
        <v>0</v>
      </c>
      <c r="K28" s="271"/>
      <c r="L28" s="417"/>
      <c r="M28" s="163"/>
      <c r="N28" s="163"/>
      <c r="O28" s="163"/>
    </row>
    <row r="29" spans="2:15" ht="30" customHeight="1">
      <c r="B29" s="652"/>
      <c r="C29" s="643"/>
      <c r="D29" s="275" t="s">
        <v>33</v>
      </c>
      <c r="E29" s="271">
        <v>1860</v>
      </c>
      <c r="F29" s="206"/>
      <c r="G29" s="265"/>
      <c r="H29" s="271"/>
      <c r="I29" s="284"/>
      <c r="J29" s="282"/>
      <c r="K29" s="271"/>
      <c r="L29" s="417"/>
      <c r="M29" s="163"/>
      <c r="N29" s="163"/>
      <c r="O29" s="163"/>
    </row>
    <row r="30" spans="2:15" ht="30" customHeight="1">
      <c r="B30" s="646"/>
      <c r="C30" s="644"/>
      <c r="D30" s="332" t="s">
        <v>6</v>
      </c>
      <c r="E30" s="333">
        <f>SUM(E28:E29)</f>
        <v>19365</v>
      </c>
      <c r="F30" s="334">
        <f>SUM(F28:F28)</f>
        <v>0</v>
      </c>
      <c r="G30" s="334">
        <f>SUM(G28:G28)</f>
        <v>0</v>
      </c>
      <c r="H30" s="333">
        <f>SUM(H28:H28)</f>
        <v>0</v>
      </c>
      <c r="I30" s="335"/>
      <c r="J30" s="334">
        <f>SUM(J28)</f>
        <v>0</v>
      </c>
      <c r="K30" s="333"/>
      <c r="L30" s="418"/>
      <c r="M30" s="163"/>
      <c r="N30" s="163"/>
      <c r="O30" s="163"/>
    </row>
    <row r="31" spans="2:15" ht="30" customHeight="1">
      <c r="B31" s="645">
        <v>4</v>
      </c>
      <c r="C31" s="642" t="s">
        <v>161</v>
      </c>
      <c r="D31" s="275" t="s">
        <v>101</v>
      </c>
      <c r="E31" s="271">
        <v>401610</v>
      </c>
      <c r="F31" s="206">
        <f>M31</f>
        <v>0</v>
      </c>
      <c r="G31" s="265">
        <v>0</v>
      </c>
      <c r="H31" s="271">
        <v>0</v>
      </c>
      <c r="I31" s="371" t="s">
        <v>21</v>
      </c>
      <c r="J31" s="282">
        <f>G31*6425/1000000</f>
        <v>0</v>
      </c>
      <c r="K31" s="271"/>
      <c r="L31" s="417"/>
      <c r="M31" s="163"/>
      <c r="N31" s="163"/>
      <c r="O31" s="163"/>
    </row>
    <row r="32" spans="2:15" ht="30" customHeight="1">
      <c r="B32" s="652"/>
      <c r="C32" s="643"/>
      <c r="D32" s="275" t="s">
        <v>33</v>
      </c>
      <c r="E32" s="271">
        <v>142780</v>
      </c>
      <c r="F32" s="206"/>
      <c r="G32" s="265"/>
      <c r="H32" s="271"/>
      <c r="I32" s="371" t="s">
        <v>21</v>
      </c>
      <c r="J32" s="282"/>
      <c r="K32" s="271"/>
      <c r="L32" s="417"/>
      <c r="M32" s="163"/>
      <c r="N32" s="163"/>
      <c r="O32" s="163"/>
    </row>
    <row r="33" spans="2:15" ht="30" customHeight="1">
      <c r="B33" s="652"/>
      <c r="C33" s="643"/>
      <c r="D33" s="275" t="s">
        <v>123</v>
      </c>
      <c r="E33" s="271">
        <v>18070</v>
      </c>
      <c r="F33" s="206"/>
      <c r="G33" s="265"/>
      <c r="H33" s="271"/>
      <c r="I33" s="371" t="s">
        <v>21</v>
      </c>
      <c r="J33" s="282"/>
      <c r="K33" s="271"/>
      <c r="L33" s="417"/>
      <c r="M33" s="163"/>
      <c r="N33" s="163"/>
      <c r="O33" s="163"/>
    </row>
    <row r="34" spans="2:15" ht="30" customHeight="1">
      <c r="B34" s="646"/>
      <c r="C34" s="644"/>
      <c r="D34" s="332" t="s">
        <v>6</v>
      </c>
      <c r="E34" s="333">
        <f>SUM(E31:E33)</f>
        <v>562460</v>
      </c>
      <c r="F34" s="334">
        <f>SUM(F31:F31)</f>
        <v>0</v>
      </c>
      <c r="G34" s="334">
        <f>SUM(G31:G31)</f>
        <v>0</v>
      </c>
      <c r="H34" s="333">
        <f>SUM(H31:H31)</f>
        <v>0</v>
      </c>
      <c r="I34" s="335"/>
      <c r="J34" s="334">
        <f>SUM(J31)</f>
        <v>0</v>
      </c>
      <c r="K34" s="333"/>
      <c r="L34" s="418"/>
      <c r="M34" s="163"/>
      <c r="N34" s="163"/>
      <c r="O34" s="163"/>
    </row>
    <row r="35" spans="2:15" ht="30" customHeight="1">
      <c r="B35" s="645">
        <v>5</v>
      </c>
      <c r="C35" s="654" t="s">
        <v>153</v>
      </c>
      <c r="D35" s="327" t="s">
        <v>151</v>
      </c>
      <c r="E35" s="271">
        <v>416288</v>
      </c>
      <c r="F35" s="206">
        <f t="shared" ref="F35:F40" si="4">M35</f>
        <v>1207.8000000000002</v>
      </c>
      <c r="G35" s="265">
        <v>1706.6000000000001</v>
      </c>
      <c r="H35" s="271">
        <v>900</v>
      </c>
      <c r="I35" s="340" t="s">
        <v>167</v>
      </c>
      <c r="J35" s="282">
        <f t="shared" ref="J35:J40" si="5">G35*5650/1000000</f>
        <v>9.6422899999999991</v>
      </c>
      <c r="K35" s="271"/>
      <c r="L35" s="417"/>
      <c r="M35" s="386">
        <f t="shared" ref="M35:M40" si="6">G35-N35</f>
        <v>1207.8000000000002</v>
      </c>
      <c r="N35" s="265">
        <v>498.79999999999995</v>
      </c>
      <c r="O35" s="163"/>
    </row>
    <row r="36" spans="2:15" ht="30" customHeight="1">
      <c r="B36" s="652"/>
      <c r="C36" s="655"/>
      <c r="D36" s="327" t="s">
        <v>119</v>
      </c>
      <c r="E36" s="271">
        <v>436588</v>
      </c>
      <c r="F36" s="206">
        <f t="shared" si="4"/>
        <v>0.5</v>
      </c>
      <c r="G36" s="265">
        <v>57.7</v>
      </c>
      <c r="H36" s="271">
        <v>37</v>
      </c>
      <c r="I36" s="340" t="s">
        <v>166</v>
      </c>
      <c r="J36" s="282">
        <f t="shared" si="5"/>
        <v>0.32600499999999999</v>
      </c>
      <c r="K36" s="271">
        <v>5000</v>
      </c>
      <c r="L36" s="417"/>
      <c r="M36" s="386">
        <f t="shared" si="6"/>
        <v>0.5</v>
      </c>
      <c r="N36" s="265">
        <v>57.2</v>
      </c>
      <c r="O36" s="163"/>
    </row>
    <row r="37" spans="2:15" ht="30" customHeight="1">
      <c r="B37" s="652"/>
      <c r="C37" s="655"/>
      <c r="D37" s="327" t="s">
        <v>90</v>
      </c>
      <c r="E37" s="271">
        <v>150905</v>
      </c>
      <c r="F37" s="206">
        <f t="shared" si="4"/>
        <v>337</v>
      </c>
      <c r="G37" s="265">
        <v>5859.5432999999994</v>
      </c>
      <c r="H37" s="271">
        <v>2872</v>
      </c>
      <c r="I37" s="340" t="s">
        <v>166</v>
      </c>
      <c r="J37" s="282">
        <f t="shared" si="5"/>
        <v>33.106419644999995</v>
      </c>
      <c r="K37" s="271"/>
      <c r="L37" s="417"/>
      <c r="M37" s="386">
        <f t="shared" si="6"/>
        <v>337</v>
      </c>
      <c r="N37" s="265">
        <v>5522.5432999999994</v>
      </c>
      <c r="O37" s="163"/>
    </row>
    <row r="38" spans="2:15" ht="30" customHeight="1">
      <c r="B38" s="652"/>
      <c r="C38" s="655"/>
      <c r="D38" s="327" t="s">
        <v>110</v>
      </c>
      <c r="E38" s="271">
        <v>325375</v>
      </c>
      <c r="F38" s="206">
        <f t="shared" si="4"/>
        <v>33451.570000000029</v>
      </c>
      <c r="G38" s="265">
        <v>93084.35000000002</v>
      </c>
      <c r="H38" s="271">
        <v>47413</v>
      </c>
      <c r="I38" s="340" t="s">
        <v>169</v>
      </c>
      <c r="J38" s="282">
        <f t="shared" si="5"/>
        <v>525.92657750000012</v>
      </c>
      <c r="K38" s="271"/>
      <c r="L38" s="417"/>
      <c r="M38" s="386">
        <f t="shared" si="6"/>
        <v>33451.570000000029</v>
      </c>
      <c r="N38" s="265">
        <v>59632.779999999992</v>
      </c>
      <c r="O38" s="163"/>
    </row>
    <row r="39" spans="2:15" ht="39.75" customHeight="1">
      <c r="B39" s="652"/>
      <c r="C39" s="655"/>
      <c r="D39" s="327" t="s">
        <v>126</v>
      </c>
      <c r="E39" s="271">
        <v>1458118</v>
      </c>
      <c r="F39" s="206">
        <f t="shared" si="4"/>
        <v>1287.1019999999999</v>
      </c>
      <c r="G39" s="265">
        <v>7509.2420000000002</v>
      </c>
      <c r="H39" s="271">
        <v>3389</v>
      </c>
      <c r="I39" s="340" t="s">
        <v>170</v>
      </c>
      <c r="J39" s="282">
        <f t="shared" si="5"/>
        <v>42.427217300000002</v>
      </c>
      <c r="K39" s="271" t="s">
        <v>188</v>
      </c>
      <c r="L39" s="417"/>
      <c r="M39" s="386">
        <f t="shared" si="6"/>
        <v>1287.1019999999999</v>
      </c>
      <c r="N39" s="265">
        <v>6222.14</v>
      </c>
      <c r="O39" s="163"/>
    </row>
    <row r="40" spans="2:15" ht="29.25" customHeight="1">
      <c r="B40" s="652"/>
      <c r="C40" s="655"/>
      <c r="D40" s="327" t="s">
        <v>159</v>
      </c>
      <c r="E40" s="271">
        <v>58313</v>
      </c>
      <c r="F40" s="206">
        <f t="shared" si="4"/>
        <v>43.5</v>
      </c>
      <c r="G40" s="265">
        <v>80.05</v>
      </c>
      <c r="H40" s="271">
        <v>43</v>
      </c>
      <c r="I40" s="340" t="s">
        <v>171</v>
      </c>
      <c r="J40" s="282">
        <f t="shared" si="5"/>
        <v>0.45228249999999998</v>
      </c>
      <c r="K40" s="271"/>
      <c r="L40" s="417"/>
      <c r="M40" s="386">
        <f t="shared" si="6"/>
        <v>43.5</v>
      </c>
      <c r="N40" s="265">
        <v>36.549999999999997</v>
      </c>
      <c r="O40" s="163"/>
    </row>
    <row r="41" spans="2:15" ht="30" customHeight="1">
      <c r="B41" s="653"/>
      <c r="C41" s="656"/>
      <c r="D41" s="332" t="s">
        <v>6</v>
      </c>
      <c r="E41" s="333">
        <f>SUM(E35:E40)</f>
        <v>2845587</v>
      </c>
      <c r="F41" s="334">
        <f>SUM(F35:F40)</f>
        <v>36327.472000000031</v>
      </c>
      <c r="G41" s="334">
        <f>SUM(G35:G40)</f>
        <v>108297.48530000001</v>
      </c>
      <c r="H41" s="333">
        <f>SUM(H35:H40)</f>
        <v>54654</v>
      </c>
      <c r="I41" s="335"/>
      <c r="J41" s="334">
        <f>SUM(J35:J40)</f>
        <v>611.88079194500017</v>
      </c>
      <c r="K41" s="333"/>
      <c r="L41" s="418"/>
      <c r="M41" s="163"/>
      <c r="N41" s="163"/>
      <c r="O41" s="163"/>
    </row>
    <row r="42" spans="2:15" ht="30" customHeight="1">
      <c r="B42" s="645">
        <v>6</v>
      </c>
      <c r="C42" s="642" t="s">
        <v>162</v>
      </c>
      <c r="D42" s="275" t="s">
        <v>101</v>
      </c>
      <c r="E42" s="271">
        <v>46463</v>
      </c>
      <c r="F42" s="206"/>
      <c r="G42" s="265"/>
      <c r="H42" s="271"/>
      <c r="I42" s="371" t="s">
        <v>21</v>
      </c>
      <c r="J42" s="282"/>
      <c r="K42" s="271"/>
      <c r="L42" s="417"/>
      <c r="M42" s="163"/>
      <c r="N42" s="163"/>
      <c r="O42" s="163"/>
    </row>
    <row r="43" spans="2:15" ht="30" customHeight="1">
      <c r="B43" s="646"/>
      <c r="C43" s="644"/>
      <c r="D43" s="332" t="s">
        <v>6</v>
      </c>
      <c r="E43" s="333">
        <f>SUM(E42)</f>
        <v>46463</v>
      </c>
      <c r="F43" s="334">
        <f>SUM(F42)</f>
        <v>0</v>
      </c>
      <c r="G43" s="334">
        <f>SUM(G42)</f>
        <v>0</v>
      </c>
      <c r="H43" s="333">
        <f>SUM(H42)</f>
        <v>0</v>
      </c>
      <c r="I43" s="335"/>
      <c r="J43" s="334">
        <f>SUM(J42)</f>
        <v>0</v>
      </c>
      <c r="K43" s="333"/>
      <c r="L43" s="418"/>
      <c r="M43" s="163"/>
      <c r="N43" s="163"/>
      <c r="O43" s="163"/>
    </row>
    <row r="44" spans="2:15" ht="51" customHeight="1">
      <c r="B44" s="362">
        <v>7</v>
      </c>
      <c r="C44" s="393" t="s">
        <v>164</v>
      </c>
      <c r="D44" s="327" t="s">
        <v>123</v>
      </c>
      <c r="E44" s="271">
        <v>3730</v>
      </c>
      <c r="F44" s="206">
        <f>M44</f>
        <v>154.00000000000045</v>
      </c>
      <c r="G44" s="265">
        <v>2825.1000000000004</v>
      </c>
      <c r="H44" s="271">
        <v>2219</v>
      </c>
      <c r="I44" s="331" t="s">
        <v>165</v>
      </c>
      <c r="J44" s="282">
        <f>G44*6760/1000000</f>
        <v>19.097676000000003</v>
      </c>
      <c r="K44" s="271"/>
      <c r="L44" s="417"/>
      <c r="M44" s="386">
        <f>G44-N44</f>
        <v>154.00000000000045</v>
      </c>
      <c r="N44" s="265">
        <v>2671.1</v>
      </c>
      <c r="O44" s="163"/>
    </row>
    <row r="45" spans="2:15" ht="30" customHeight="1">
      <c r="B45" s="329"/>
      <c r="C45" s="328"/>
      <c r="D45" s="332" t="s">
        <v>6</v>
      </c>
      <c r="E45" s="333">
        <f t="shared" ref="E45:J45" si="7">SUM(E44)</f>
        <v>3730</v>
      </c>
      <c r="F45" s="334">
        <f t="shared" si="7"/>
        <v>154.00000000000045</v>
      </c>
      <c r="G45" s="334">
        <f t="shared" si="7"/>
        <v>2825.1000000000004</v>
      </c>
      <c r="H45" s="333">
        <f t="shared" si="7"/>
        <v>2219</v>
      </c>
      <c r="I45" s="335"/>
      <c r="J45" s="334">
        <f t="shared" si="7"/>
        <v>19.097676000000003</v>
      </c>
      <c r="K45" s="333"/>
      <c r="L45" s="418"/>
      <c r="M45" s="163"/>
      <c r="N45" s="163"/>
      <c r="O45" s="163"/>
    </row>
    <row r="46" spans="2:15" ht="30" customHeight="1">
      <c r="B46" s="337"/>
      <c r="C46" s="338"/>
      <c r="D46" s="274" t="s">
        <v>5</v>
      </c>
      <c r="E46" s="273">
        <f>E45+E43+E41+E34+E30+E27+E24</f>
        <v>7390678</v>
      </c>
      <c r="F46" s="277">
        <f>F45+F43+F41+F34+F30+F27+F24</f>
        <v>39001.952000000027</v>
      </c>
      <c r="G46" s="277">
        <f>G45+G43+G41+G34+G30+G27+G24</f>
        <v>115239.06530000003</v>
      </c>
      <c r="H46" s="273">
        <f>H45+H43+H41+H34+H30+H27+H24</f>
        <v>59646.73</v>
      </c>
      <c r="I46" s="336"/>
      <c r="J46" s="277">
        <f>J45+J43+J41+J34+J30+J27+J24</f>
        <v>650.77951639500009</v>
      </c>
      <c r="K46" s="273"/>
      <c r="L46" s="413"/>
      <c r="M46" s="163"/>
      <c r="N46" s="163"/>
      <c r="O46" s="163"/>
    </row>
    <row r="47" spans="2:15" ht="30" customHeight="1">
      <c r="B47" s="647" t="s">
        <v>148</v>
      </c>
      <c r="C47" s="648"/>
      <c r="D47" s="649"/>
      <c r="E47" s="271"/>
      <c r="F47" s="271"/>
      <c r="G47" s="178"/>
      <c r="H47" s="271"/>
      <c r="I47" s="341"/>
      <c r="J47" s="271"/>
      <c r="K47" s="271"/>
      <c r="L47" s="417"/>
      <c r="M47" s="163"/>
      <c r="N47" s="163"/>
      <c r="O47" s="163"/>
    </row>
    <row r="48" spans="2:15" ht="35.25" customHeight="1">
      <c r="B48" s="650">
        <v>1</v>
      </c>
      <c r="C48" s="657" t="s">
        <v>149</v>
      </c>
      <c r="D48" s="327" t="s">
        <v>86</v>
      </c>
      <c r="E48" s="271">
        <v>62500</v>
      </c>
      <c r="F48" s="206">
        <f>M48</f>
        <v>286.5</v>
      </c>
      <c r="G48" s="265">
        <v>457.29500000000002</v>
      </c>
      <c r="H48" s="271">
        <v>375</v>
      </c>
      <c r="I48" s="340" t="s">
        <v>176</v>
      </c>
      <c r="J48" s="282">
        <f>G48*12000/1000000</f>
        <v>5.4875400000000001</v>
      </c>
      <c r="K48" s="271"/>
      <c r="L48" s="417"/>
      <c r="M48" s="386">
        <f>G48-N48</f>
        <v>286.5</v>
      </c>
      <c r="N48" s="265">
        <v>170.79500000000004</v>
      </c>
      <c r="O48" s="163"/>
    </row>
    <row r="49" spans="2:15" ht="35.25" customHeight="1">
      <c r="B49" s="651"/>
      <c r="C49" s="641"/>
      <c r="D49" s="343" t="s">
        <v>33</v>
      </c>
      <c r="E49" s="347">
        <v>2000</v>
      </c>
      <c r="F49" s="344"/>
      <c r="G49" s="363"/>
      <c r="H49" s="347"/>
      <c r="I49" s="339" t="s">
        <v>177</v>
      </c>
      <c r="J49" s="349"/>
      <c r="K49" s="347"/>
      <c r="L49" s="417"/>
      <c r="M49" s="386"/>
      <c r="N49" s="324"/>
      <c r="O49" s="163"/>
    </row>
    <row r="50" spans="2:15" ht="35.25" customHeight="1">
      <c r="B50" s="269"/>
      <c r="C50" s="310"/>
      <c r="D50" s="332" t="s">
        <v>6</v>
      </c>
      <c r="E50" s="333">
        <f>SUM(E48:E49)</f>
        <v>64500</v>
      </c>
      <c r="F50" s="334"/>
      <c r="G50" s="334"/>
      <c r="H50" s="333"/>
      <c r="I50" s="335"/>
      <c r="J50" s="334"/>
      <c r="K50" s="333"/>
      <c r="L50" s="418"/>
      <c r="M50" s="386"/>
      <c r="N50" s="324"/>
      <c r="O50" s="163"/>
    </row>
    <row r="51" spans="2:15" ht="35.25" customHeight="1">
      <c r="B51" s="650">
        <v>2</v>
      </c>
      <c r="C51" s="641" t="s">
        <v>179</v>
      </c>
      <c r="D51" s="350" t="s">
        <v>86</v>
      </c>
      <c r="E51" s="351">
        <v>2999</v>
      </c>
      <c r="F51" s="364"/>
      <c r="G51" s="365"/>
      <c r="H51" s="351"/>
      <c r="I51" s="339" t="s">
        <v>176</v>
      </c>
      <c r="J51" s="352"/>
      <c r="K51" s="351"/>
      <c r="L51" s="417"/>
      <c r="M51" s="386"/>
      <c r="N51" s="324"/>
      <c r="O51" s="163"/>
    </row>
    <row r="52" spans="2:15" ht="35.25" customHeight="1">
      <c r="B52" s="651"/>
      <c r="C52" s="641"/>
      <c r="D52" s="327" t="s">
        <v>33</v>
      </c>
      <c r="E52" s="271">
        <v>88300</v>
      </c>
      <c r="F52" s="206">
        <f>M52</f>
        <v>128.75</v>
      </c>
      <c r="G52" s="265">
        <v>720.95</v>
      </c>
      <c r="H52" s="271">
        <v>491</v>
      </c>
      <c r="I52" s="340" t="s">
        <v>177</v>
      </c>
      <c r="J52" s="282">
        <f>G52*11160/1000000</f>
        <v>8.0458020000000001</v>
      </c>
      <c r="K52" s="271"/>
      <c r="L52" s="417"/>
      <c r="M52" s="386">
        <f>G52-N52</f>
        <v>128.75</v>
      </c>
      <c r="N52" s="265">
        <v>592.20000000000005</v>
      </c>
      <c r="O52" s="163"/>
    </row>
    <row r="53" spans="2:15" ht="35.25" customHeight="1">
      <c r="B53" s="269"/>
      <c r="C53" s="310"/>
      <c r="D53" s="332" t="s">
        <v>6</v>
      </c>
      <c r="E53" s="333">
        <f t="shared" ref="E53:J53" si="8">SUM(E51:E52)</f>
        <v>91299</v>
      </c>
      <c r="F53" s="334">
        <f t="shared" si="8"/>
        <v>128.75</v>
      </c>
      <c r="G53" s="334">
        <f t="shared" si="8"/>
        <v>720.95</v>
      </c>
      <c r="H53" s="333">
        <f t="shared" si="8"/>
        <v>491</v>
      </c>
      <c r="I53" s="333">
        <f t="shared" si="8"/>
        <v>0</v>
      </c>
      <c r="J53" s="334">
        <f t="shared" si="8"/>
        <v>8.0458020000000001</v>
      </c>
      <c r="K53" s="333"/>
      <c r="L53" s="418"/>
      <c r="M53" s="386"/>
      <c r="N53" s="324"/>
      <c r="O53" s="163"/>
    </row>
    <row r="54" spans="2:15" ht="29.25" customHeight="1">
      <c r="B54" s="372"/>
      <c r="C54" s="325"/>
      <c r="D54" s="274" t="s">
        <v>5</v>
      </c>
      <c r="E54" s="366">
        <f>E53+E50</f>
        <v>155799</v>
      </c>
      <c r="F54" s="368">
        <f>F53+F50</f>
        <v>128.75</v>
      </c>
      <c r="G54" s="368">
        <f>G53+G50</f>
        <v>720.95</v>
      </c>
      <c r="H54" s="366">
        <f>H53+H50</f>
        <v>491</v>
      </c>
      <c r="I54" s="367"/>
      <c r="J54" s="368">
        <f>J53+J50</f>
        <v>8.0458020000000001</v>
      </c>
      <c r="K54" s="366"/>
      <c r="L54" s="413"/>
      <c r="M54" s="163"/>
      <c r="N54" s="163"/>
      <c r="O54" s="163"/>
    </row>
    <row r="55" spans="2:15" ht="20.25">
      <c r="B55" s="388"/>
      <c r="C55" s="304"/>
      <c r="D55" s="305" t="s">
        <v>13</v>
      </c>
      <c r="E55" s="306">
        <f t="shared" ref="E55:J55" si="9">E54+E45+E43+E41+E34+E30+E27+E24</f>
        <v>7546477</v>
      </c>
      <c r="F55" s="326">
        <f t="shared" si="9"/>
        <v>39130.702000000027</v>
      </c>
      <c r="G55" s="326">
        <f t="shared" si="9"/>
        <v>115960.01530000003</v>
      </c>
      <c r="H55" s="306">
        <f t="shared" si="9"/>
        <v>60137.73</v>
      </c>
      <c r="I55" s="342">
        <f t="shared" si="9"/>
        <v>0</v>
      </c>
      <c r="J55" s="326">
        <f t="shared" si="9"/>
        <v>658.82531839500007</v>
      </c>
      <c r="K55" s="306"/>
      <c r="L55" s="419"/>
      <c r="M55" s="163"/>
      <c r="N55" s="163"/>
      <c r="O55" s="163"/>
    </row>
    <row r="56" spans="2:15" ht="20.25">
      <c r="D56" s="22"/>
      <c r="E56" s="27"/>
      <c r="F56" s="27"/>
      <c r="G56" s="28"/>
      <c r="H56" s="27"/>
      <c r="K56" s="27"/>
      <c r="L56" s="27"/>
      <c r="M56" s="163"/>
      <c r="N56" s="163"/>
      <c r="O56" s="163"/>
    </row>
    <row r="57" spans="2:15" ht="37.5" customHeight="1">
      <c r="C57" s="384" t="s">
        <v>111</v>
      </c>
      <c r="D57" s="384" t="s">
        <v>106</v>
      </c>
      <c r="E57" s="385" t="s">
        <v>135</v>
      </c>
      <c r="F57" s="385" t="s">
        <v>107</v>
      </c>
      <c r="G57" s="385" t="s">
        <v>138</v>
      </c>
      <c r="H57" s="10"/>
      <c r="K57" s="10"/>
      <c r="L57" s="10"/>
    </row>
    <row r="58" spans="2:15" ht="16.5" thickBot="1">
      <c r="C58" s="314" t="s">
        <v>154</v>
      </c>
      <c r="E58" s="10"/>
    </row>
    <row r="59" spans="2:15" ht="28.5">
      <c r="C59" s="369" t="s">
        <v>157</v>
      </c>
      <c r="D59" s="33">
        <f>E24+E27+E30+E34</f>
        <v>4494898</v>
      </c>
      <c r="E59" s="330">
        <f>G24+G27+G30+G34</f>
        <v>4116.4799999999996</v>
      </c>
      <c r="F59" s="33">
        <f>H24+H27</f>
        <v>2773.7299999999996</v>
      </c>
      <c r="G59" s="330">
        <f>J24+J27+J30+J34</f>
        <v>19.801048449999996</v>
      </c>
    </row>
    <row r="60" spans="2:15" ht="29.25" thickBot="1">
      <c r="C60" s="377" t="s">
        <v>178</v>
      </c>
      <c r="D60" s="378">
        <f>E41+E43+E45</f>
        <v>2895780</v>
      </c>
      <c r="E60" s="379">
        <f>G41+G43+G45</f>
        <v>111122.58530000002</v>
      </c>
      <c r="F60" s="378">
        <f>H41+H43+H45</f>
        <v>56873</v>
      </c>
      <c r="G60" s="379">
        <f>J41+J43+J45</f>
        <v>630.97846794500015</v>
      </c>
    </row>
    <row r="61" spans="2:15" ht="30" customHeight="1" thickBot="1">
      <c r="C61" s="380" t="s">
        <v>38</v>
      </c>
      <c r="D61" s="381">
        <f>SUM(D59:D60)</f>
        <v>7390678</v>
      </c>
      <c r="E61" s="382">
        <f>SUM(E59:E60)</f>
        <v>115239.06530000002</v>
      </c>
      <c r="F61" s="381">
        <f>SUM(F59:F60)</f>
        <v>59646.729999999996</v>
      </c>
      <c r="G61" s="382">
        <f>SUM(G59:G60)</f>
        <v>650.7795163950002</v>
      </c>
    </row>
    <row r="62" spans="2:15" ht="30.75" thickBot="1">
      <c r="C62" s="370" t="s">
        <v>148</v>
      </c>
      <c r="D62" s="302">
        <f>E54</f>
        <v>155799</v>
      </c>
      <c r="E62" s="387">
        <f>G54</f>
        <v>720.95</v>
      </c>
      <c r="F62" s="302">
        <f>H54</f>
        <v>491</v>
      </c>
      <c r="G62" s="387">
        <f>J54</f>
        <v>8.0458020000000001</v>
      </c>
    </row>
    <row r="63" spans="2:15" ht="28.5" customHeight="1" thickBot="1">
      <c r="C63" s="383" t="s">
        <v>6</v>
      </c>
      <c r="D63" s="381">
        <f>D62+D61</f>
        <v>7546477</v>
      </c>
      <c r="E63" s="382">
        <f>E62+E61</f>
        <v>115960.01530000001</v>
      </c>
      <c r="F63" s="381">
        <f>F62+F61</f>
        <v>60137.729999999996</v>
      </c>
      <c r="G63" s="382">
        <f>G62+G61</f>
        <v>658.82531839500018</v>
      </c>
    </row>
    <row r="69" spans="9:9">
      <c r="I69" s="3">
        <v>45369</v>
      </c>
    </row>
    <row r="70" spans="9:9">
      <c r="I70" s="1">
        <v>89</v>
      </c>
    </row>
    <row r="71" spans="9:9">
      <c r="I71" s="3">
        <f>I69+I70</f>
        <v>45458</v>
      </c>
    </row>
  </sheetData>
  <mergeCells count="23">
    <mergeCell ref="C15:C23"/>
    <mergeCell ref="B15:B23"/>
    <mergeCell ref="C28:C30"/>
    <mergeCell ref="B25:B27"/>
    <mergeCell ref="B2:J2"/>
    <mergeCell ref="B3:C3"/>
    <mergeCell ref="B14:C14"/>
    <mergeCell ref="C25:C27"/>
    <mergeCell ref="B28:B30"/>
    <mergeCell ref="B5:C5"/>
    <mergeCell ref="B6:B11"/>
    <mergeCell ref="C6:C11"/>
    <mergeCell ref="C51:C52"/>
    <mergeCell ref="C31:C34"/>
    <mergeCell ref="B42:B43"/>
    <mergeCell ref="B47:D47"/>
    <mergeCell ref="B51:B52"/>
    <mergeCell ref="B48:B49"/>
    <mergeCell ref="B35:B41"/>
    <mergeCell ref="C35:C41"/>
    <mergeCell ref="C42:C43"/>
    <mergeCell ref="C48:C49"/>
    <mergeCell ref="B31:B34"/>
  </mergeCells>
  <pageMargins left="0.31496062992125984" right="0.23622047244094491" top="0.23622047244094491" bottom="1.03" header="0.15748031496062992" footer="0.84"/>
  <pageSetup paperSize="9" scale="57" fitToHeight="2" orientation="portrait" r:id="rId1"/>
</worksheet>
</file>

<file path=xl/worksheets/sheet4.xml><?xml version="1.0" encoding="utf-8"?>
<worksheet xmlns="http://schemas.openxmlformats.org/spreadsheetml/2006/main" xmlns:r="http://schemas.openxmlformats.org/officeDocument/2006/relationships">
  <dimension ref="A1"/>
  <sheetViews>
    <sheetView workbookViewId="0">
      <selection activeCell="D26" sqref="D26"/>
    </sheetView>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
  <sheetViews>
    <sheetView workbookViewId="0">
      <selection activeCell="J18" sqref="J18"/>
    </sheetView>
  </sheetViews>
  <sheetFormatPr defaultRowHeight="1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B1:O19"/>
  <sheetViews>
    <sheetView zoomScale="80" zoomScaleNormal="80" zoomScaleSheetLayoutView="85" workbookViewId="0">
      <selection activeCell="F15" sqref="F15"/>
    </sheetView>
  </sheetViews>
  <sheetFormatPr defaultColWidth="9.140625" defaultRowHeight="15"/>
  <cols>
    <col min="1" max="1" width="9.140625" style="1"/>
    <col min="2" max="2" width="6.140625" style="1" customWidth="1"/>
    <col min="3" max="3" width="15.5703125" style="1" bestFit="1" customWidth="1"/>
    <col min="4" max="4" width="21" style="1" customWidth="1"/>
    <col min="5" max="5" width="16.7109375" style="1" customWidth="1"/>
    <col min="6" max="6" width="16.5703125" style="1" customWidth="1"/>
    <col min="7" max="7" width="17.7109375" style="1" customWidth="1"/>
    <col min="8" max="8" width="14.140625" style="1" customWidth="1"/>
    <col min="9" max="9" width="12.85546875" style="1" customWidth="1"/>
    <col min="10" max="10" width="28.5703125" style="1" customWidth="1"/>
    <col min="11" max="11" width="14.28515625" style="1" customWidth="1"/>
    <col min="12" max="12" width="17" style="420" customWidth="1"/>
    <col min="13" max="13" width="18" style="1" customWidth="1"/>
    <col min="14" max="14" width="20.28515625" style="1" customWidth="1"/>
    <col min="15" max="15" width="10.5703125" style="1" bestFit="1" customWidth="1"/>
    <col min="16" max="16384" width="9.140625" style="1"/>
  </cols>
  <sheetData>
    <row r="1" spans="2:15" ht="19.5" customHeight="1">
      <c r="D1" s="435"/>
      <c r="E1" s="435"/>
      <c r="F1" s="435"/>
    </row>
    <row r="2" spans="2:15" ht="33" customHeight="1">
      <c r="B2" s="660" t="s">
        <v>193</v>
      </c>
      <c r="C2" s="660"/>
      <c r="D2" s="660"/>
      <c r="E2" s="660"/>
      <c r="F2" s="660"/>
      <c r="G2" s="660"/>
      <c r="H2" s="660"/>
      <c r="I2" s="660"/>
      <c r="J2" s="660"/>
      <c r="K2" s="660"/>
      <c r="L2" s="421"/>
    </row>
    <row r="3" spans="2:15" ht="24.75" customHeight="1" thickBot="1">
      <c r="B3" s="677" t="e">
        <f>#REF!</f>
        <v>#REF!</v>
      </c>
      <c r="C3" s="673"/>
      <c r="H3" s="268"/>
      <c r="I3" s="268"/>
      <c r="J3" s="289" t="s">
        <v>136</v>
      </c>
      <c r="L3" s="422"/>
    </row>
    <row r="4" spans="2:15" ht="72.75" thickBot="1">
      <c r="B4" s="436" t="s">
        <v>132</v>
      </c>
      <c r="C4" s="438" t="s">
        <v>0</v>
      </c>
      <c r="D4" s="398" t="s">
        <v>1</v>
      </c>
      <c r="E4" s="443" t="s">
        <v>199</v>
      </c>
      <c r="F4" s="433" t="s">
        <v>131</v>
      </c>
      <c r="G4" s="399" t="s">
        <v>135</v>
      </c>
      <c r="H4" s="399" t="s">
        <v>24</v>
      </c>
      <c r="I4" s="437" t="s">
        <v>194</v>
      </c>
      <c r="J4" s="399" t="s">
        <v>88</v>
      </c>
      <c r="K4" s="434" t="s">
        <v>138</v>
      </c>
      <c r="L4" s="412"/>
    </row>
    <row r="5" spans="2:15" ht="30" customHeight="1">
      <c r="B5" s="439">
        <v>1</v>
      </c>
      <c r="C5" s="674" t="s">
        <v>195</v>
      </c>
      <c r="D5" s="425" t="s">
        <v>151</v>
      </c>
      <c r="E5" s="426">
        <v>416288</v>
      </c>
      <c r="F5" s="427" t="e">
        <f>#REF!</f>
        <v>#REF!</v>
      </c>
      <c r="G5" s="428" t="e">
        <f>#REF!</f>
        <v>#REF!</v>
      </c>
      <c r="H5" s="426" t="e">
        <f>#REF!</f>
        <v>#REF!</v>
      </c>
      <c r="I5" s="426">
        <v>893</v>
      </c>
      <c r="J5" s="429" t="s">
        <v>167</v>
      </c>
      <c r="K5" s="430" t="e">
        <f t="shared" ref="K5:K10" si="0">G5*5650/1000000</f>
        <v>#REF!</v>
      </c>
      <c r="L5" s="417"/>
      <c r="M5" s="386" t="e">
        <f t="shared" ref="M5:M10" si="1">G5-N5</f>
        <v>#REF!</v>
      </c>
      <c r="N5" s="428" t="e">
        <f>#REF!</f>
        <v>#REF!</v>
      </c>
      <c r="O5" s="163"/>
    </row>
    <row r="6" spans="2:15" ht="30" customHeight="1">
      <c r="B6" s="439">
        <v>2</v>
      </c>
      <c r="C6" s="675"/>
      <c r="D6" s="327" t="s">
        <v>119</v>
      </c>
      <c r="E6" s="271">
        <v>436588</v>
      </c>
      <c r="F6" s="206" t="e">
        <f>#REF!</f>
        <v>#REF!</v>
      </c>
      <c r="G6" s="265" t="e">
        <f>#REF!</f>
        <v>#REF!</v>
      </c>
      <c r="H6" s="271" t="e">
        <f>#REF!</f>
        <v>#REF!</v>
      </c>
      <c r="I6" s="271">
        <v>75</v>
      </c>
      <c r="J6" s="340" t="s">
        <v>166</v>
      </c>
      <c r="K6" s="282" t="e">
        <f t="shared" si="0"/>
        <v>#REF!</v>
      </c>
      <c r="L6" s="417"/>
      <c r="M6" s="386" t="e">
        <f t="shared" si="1"/>
        <v>#REF!</v>
      </c>
      <c r="N6" s="265" t="e">
        <f>#REF!</f>
        <v>#REF!</v>
      </c>
      <c r="O6" s="163"/>
    </row>
    <row r="7" spans="2:15" ht="30" customHeight="1">
      <c r="B7" s="439">
        <v>3</v>
      </c>
      <c r="C7" s="675"/>
      <c r="D7" s="327" t="s">
        <v>90</v>
      </c>
      <c r="E7" s="271">
        <v>150905</v>
      </c>
      <c r="F7" s="206" t="e">
        <f>#REF!</f>
        <v>#REF!</v>
      </c>
      <c r="G7" s="265" t="e">
        <f>#REF!</f>
        <v>#REF!</v>
      </c>
      <c r="H7" s="271" t="e">
        <f>#REF!</f>
        <v>#REF!</v>
      </c>
      <c r="I7" s="271">
        <v>109</v>
      </c>
      <c r="J7" s="340" t="s">
        <v>166</v>
      </c>
      <c r="K7" s="282" t="e">
        <f t="shared" si="0"/>
        <v>#REF!</v>
      </c>
      <c r="L7" s="417"/>
      <c r="M7" s="386" t="e">
        <f t="shared" si="1"/>
        <v>#REF!</v>
      </c>
      <c r="N7" s="265" t="e">
        <f>#REF!</f>
        <v>#REF!</v>
      </c>
      <c r="O7" s="163"/>
    </row>
    <row r="8" spans="2:15" ht="30" customHeight="1">
      <c r="B8" s="439">
        <v>4</v>
      </c>
      <c r="C8" s="675"/>
      <c r="D8" s="327" t="s">
        <v>110</v>
      </c>
      <c r="E8" s="271">
        <v>325938</v>
      </c>
      <c r="F8" s="206" t="e">
        <f>#REF!</f>
        <v>#REF!</v>
      </c>
      <c r="G8" s="265" t="e">
        <f>#REF!</f>
        <v>#REF!</v>
      </c>
      <c r="H8" s="271" t="e">
        <f>#REF!</f>
        <v>#REF!</v>
      </c>
      <c r="I8" s="271">
        <v>107</v>
      </c>
      <c r="J8" s="340" t="s">
        <v>169</v>
      </c>
      <c r="K8" s="282" t="e">
        <f t="shared" si="0"/>
        <v>#REF!</v>
      </c>
      <c r="L8" s="417"/>
      <c r="M8" s="386" t="e">
        <f t="shared" si="1"/>
        <v>#REF!</v>
      </c>
      <c r="N8" s="265" t="e">
        <f>#REF!</f>
        <v>#REF!</v>
      </c>
      <c r="O8" s="163"/>
    </row>
    <row r="9" spans="2:15" ht="39.75" customHeight="1">
      <c r="B9" s="439">
        <v>5</v>
      </c>
      <c r="C9" s="675"/>
      <c r="D9" s="327" t="s">
        <v>126</v>
      </c>
      <c r="E9" s="271">
        <v>1458118</v>
      </c>
      <c r="F9" s="206" t="e">
        <f>#REF!</f>
        <v>#REF!</v>
      </c>
      <c r="G9" s="265" t="e">
        <f>#REF!</f>
        <v>#REF!</v>
      </c>
      <c r="H9" s="271" t="e">
        <f>#REF!</f>
        <v>#REF!</v>
      </c>
      <c r="I9" s="271">
        <v>526</v>
      </c>
      <c r="J9" s="424" t="s">
        <v>192</v>
      </c>
      <c r="K9" s="282" t="e">
        <f t="shared" si="0"/>
        <v>#REF!</v>
      </c>
      <c r="L9" s="417"/>
      <c r="M9" s="386" t="e">
        <f t="shared" si="1"/>
        <v>#REF!</v>
      </c>
      <c r="N9" s="265" t="e">
        <f>#REF!</f>
        <v>#REF!</v>
      </c>
      <c r="O9" s="163"/>
    </row>
    <row r="10" spans="2:15" ht="29.25" customHeight="1">
      <c r="B10" s="439">
        <v>6</v>
      </c>
      <c r="C10" s="675"/>
      <c r="D10" s="327" t="s">
        <v>159</v>
      </c>
      <c r="E10" s="271">
        <v>58313</v>
      </c>
      <c r="F10" s="206" t="e">
        <f>#REF!</f>
        <v>#REF!</v>
      </c>
      <c r="G10" s="265" t="e">
        <f>#REF!</f>
        <v>#REF!</v>
      </c>
      <c r="H10" s="271" t="e">
        <f>#REF!</f>
        <v>#REF!</v>
      </c>
      <c r="I10" s="271">
        <v>71</v>
      </c>
      <c r="J10" s="340" t="s">
        <v>200</v>
      </c>
      <c r="K10" s="282" t="e">
        <f t="shared" si="0"/>
        <v>#REF!</v>
      </c>
      <c r="L10" s="417"/>
      <c r="M10" s="386" t="e">
        <f t="shared" si="1"/>
        <v>#REF!</v>
      </c>
      <c r="N10" s="265" t="e">
        <f>#REF!</f>
        <v>#REF!</v>
      </c>
      <c r="O10" s="163"/>
    </row>
    <row r="11" spans="2:15" ht="30" customHeight="1" thickBot="1">
      <c r="B11" s="439"/>
      <c r="C11" s="676"/>
      <c r="D11" s="357" t="s">
        <v>6</v>
      </c>
      <c r="E11" s="358">
        <f>SUM(E5:E10)</f>
        <v>2846150</v>
      </c>
      <c r="F11" s="359" t="e">
        <f>SUM(F5:F10)</f>
        <v>#REF!</v>
      </c>
      <c r="G11" s="359" t="e">
        <f>SUM(G5:G10)</f>
        <v>#REF!</v>
      </c>
      <c r="H11" s="358" t="e">
        <f>SUM(H5:H10)</f>
        <v>#REF!</v>
      </c>
      <c r="I11" s="358">
        <f>SUM(I5:I10)</f>
        <v>1781</v>
      </c>
      <c r="J11" s="360"/>
      <c r="K11" s="359" t="e">
        <f>SUM(K5:K10)</f>
        <v>#REF!</v>
      </c>
      <c r="L11" s="413"/>
      <c r="M11" s="163"/>
      <c r="N11" s="386" t="e">
        <f>SUM(N5:N10)</f>
        <v>#REF!</v>
      </c>
      <c r="O11" s="163"/>
    </row>
    <row r="17" spans="10:10">
      <c r="J17" s="3">
        <v>45369</v>
      </c>
    </row>
    <row r="18" spans="10:10">
      <c r="J18" s="1">
        <v>89</v>
      </c>
    </row>
    <row r="19" spans="10:10">
      <c r="J19" s="3">
        <f>J17+J18</f>
        <v>45458</v>
      </c>
    </row>
  </sheetData>
  <mergeCells count="3">
    <mergeCell ref="C5:C11"/>
    <mergeCell ref="B2:K2"/>
    <mergeCell ref="B3:C3"/>
  </mergeCells>
  <pageMargins left="0.16" right="0.22" top="0.23622047244094491" bottom="1.8" header="0.16" footer="0.25"/>
  <pageSetup paperSize="9" scale="61" fitToHeight="2"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B1:G74"/>
  <sheetViews>
    <sheetView tabSelected="1" zoomScale="70" zoomScaleNormal="70" zoomScaleSheetLayoutView="85" workbookViewId="0">
      <selection activeCell="N8" sqref="N8"/>
    </sheetView>
  </sheetViews>
  <sheetFormatPr defaultColWidth="9.140625" defaultRowHeight="15"/>
  <cols>
    <col min="1" max="1" width="9.140625" style="1"/>
    <col min="2" max="2" width="7" style="1" customWidth="1"/>
    <col min="3" max="3" width="18.5703125" style="1" customWidth="1"/>
    <col min="4" max="4" width="23.5703125" style="1" customWidth="1"/>
    <col min="5" max="5" width="18" style="1" customWidth="1"/>
    <col min="6" max="6" width="20.140625" style="1" customWidth="1"/>
    <col min="7" max="7" width="29.85546875" style="1" customWidth="1"/>
    <col min="8" max="16384" width="9.140625" style="1"/>
  </cols>
  <sheetData>
    <row r="1" spans="2:7" ht="27.75" customHeight="1">
      <c r="B1" s="678" t="s">
        <v>253</v>
      </c>
      <c r="C1" s="678"/>
      <c r="D1" s="678"/>
      <c r="E1" s="678"/>
      <c r="F1" s="678"/>
      <c r="G1" s="678"/>
    </row>
    <row r="2" spans="2:7" ht="33" customHeight="1">
      <c r="B2" s="672" t="s">
        <v>252</v>
      </c>
      <c r="C2" s="672"/>
      <c r="D2" s="672"/>
      <c r="E2" s="672"/>
      <c r="F2" s="672"/>
      <c r="G2" s="672"/>
    </row>
    <row r="3" spans="2:7" ht="24.75" customHeight="1" thickBot="1">
      <c r="B3" s="493" t="s">
        <v>268</v>
      </c>
      <c r="C3" s="493"/>
      <c r="D3" s="493"/>
      <c r="G3" s="564" t="s">
        <v>136</v>
      </c>
    </row>
    <row r="4" spans="2:7" ht="73.5" customHeight="1" thickBot="1">
      <c r="B4" s="532" t="s">
        <v>132</v>
      </c>
      <c r="C4" s="244" t="s">
        <v>0</v>
      </c>
      <c r="D4" s="244" t="s">
        <v>1</v>
      </c>
      <c r="E4" s="244" t="s">
        <v>254</v>
      </c>
      <c r="F4" s="460" t="s">
        <v>135</v>
      </c>
      <c r="G4" s="460" t="s">
        <v>88</v>
      </c>
    </row>
    <row r="5" spans="2:7" ht="21" customHeight="1" thickBot="1">
      <c r="B5" s="680" t="s">
        <v>201</v>
      </c>
      <c r="C5" s="681"/>
      <c r="D5" s="557"/>
      <c r="E5" s="558"/>
      <c r="F5" s="559"/>
      <c r="G5" s="560"/>
    </row>
    <row r="6" spans="2:7" ht="38.25" customHeight="1">
      <c r="B6" s="682">
        <v>1</v>
      </c>
      <c r="C6" s="687" t="s">
        <v>202</v>
      </c>
      <c r="D6" s="448" t="s">
        <v>214</v>
      </c>
      <c r="E6" s="451">
        <v>38320</v>
      </c>
      <c r="F6" s="265">
        <v>26752.65</v>
      </c>
      <c r="G6" s="463" t="s">
        <v>261</v>
      </c>
    </row>
    <row r="7" spans="2:7" ht="38.25" customHeight="1">
      <c r="B7" s="683"/>
      <c r="C7" s="688"/>
      <c r="D7" s="445" t="s">
        <v>126</v>
      </c>
      <c r="E7" s="487">
        <v>238988</v>
      </c>
      <c r="F7" s="423">
        <v>130577.85599999999</v>
      </c>
      <c r="G7" s="463" t="s">
        <v>226</v>
      </c>
    </row>
    <row r="8" spans="2:7" ht="38.25" customHeight="1">
      <c r="B8" s="684"/>
      <c r="C8" s="689"/>
      <c r="D8" s="445" t="s">
        <v>123</v>
      </c>
      <c r="E8" s="451">
        <v>4715</v>
      </c>
      <c r="F8" s="265">
        <v>990.43700000000001</v>
      </c>
      <c r="G8" s="463" t="s">
        <v>211</v>
      </c>
    </row>
    <row r="9" spans="2:7" ht="38.25" customHeight="1">
      <c r="B9" s="684"/>
      <c r="C9" s="689"/>
      <c r="D9" s="445" t="s">
        <v>127</v>
      </c>
      <c r="E9" s="451">
        <v>29108</v>
      </c>
      <c r="F9" s="265">
        <v>63.25</v>
      </c>
      <c r="G9" s="463" t="s">
        <v>212</v>
      </c>
    </row>
    <row r="10" spans="2:7" ht="38.25" customHeight="1">
      <c r="B10" s="685"/>
      <c r="C10" s="690"/>
      <c r="D10" s="466" t="s">
        <v>33</v>
      </c>
      <c r="E10" s="451">
        <v>8000</v>
      </c>
      <c r="F10" s="265">
        <v>67.25</v>
      </c>
      <c r="G10" s="463" t="s">
        <v>223</v>
      </c>
    </row>
    <row r="11" spans="2:7" ht="38.25" customHeight="1">
      <c r="B11" s="685"/>
      <c r="C11" s="690"/>
      <c r="D11" s="445" t="s">
        <v>90</v>
      </c>
      <c r="E11" s="451">
        <v>3383</v>
      </c>
      <c r="F11" s="265"/>
      <c r="G11" s="450" t="s">
        <v>21</v>
      </c>
    </row>
    <row r="12" spans="2:7" ht="38.25" customHeight="1">
      <c r="B12" s="685"/>
      <c r="C12" s="690"/>
      <c r="D12" s="466" t="s">
        <v>119</v>
      </c>
      <c r="E12" s="451">
        <v>4215</v>
      </c>
      <c r="F12" s="265"/>
      <c r="G12" s="463" t="s">
        <v>260</v>
      </c>
    </row>
    <row r="13" spans="2:7" ht="38.25" customHeight="1">
      <c r="B13" s="685"/>
      <c r="C13" s="690"/>
      <c r="D13" s="466" t="s">
        <v>101</v>
      </c>
      <c r="E13" s="451">
        <v>957</v>
      </c>
      <c r="F13" s="265"/>
      <c r="G13" s="463" t="s">
        <v>21</v>
      </c>
    </row>
    <row r="14" spans="2:7" ht="38.25" customHeight="1" thickBot="1">
      <c r="B14" s="685"/>
      <c r="C14" s="690"/>
      <c r="D14" s="496" t="s">
        <v>110</v>
      </c>
      <c r="E14" s="464">
        <v>6730</v>
      </c>
      <c r="F14" s="442"/>
      <c r="G14" s="495" t="s">
        <v>221</v>
      </c>
    </row>
    <row r="15" spans="2:7" ht="38.25" customHeight="1" thickBot="1">
      <c r="B15" s="686"/>
      <c r="C15" s="691"/>
      <c r="D15" s="497" t="s">
        <v>6</v>
      </c>
      <c r="E15" s="475">
        <f>SUM(E6:E14)</f>
        <v>334416</v>
      </c>
      <c r="F15" s="476">
        <f>SUM(F6:F14)</f>
        <v>158451.443</v>
      </c>
      <c r="G15" s="476"/>
    </row>
    <row r="16" spans="2:7" ht="38.25" customHeight="1">
      <c r="B16" s="700">
        <v>2</v>
      </c>
      <c r="C16" s="679" t="s">
        <v>206</v>
      </c>
      <c r="D16" s="448" t="s">
        <v>126</v>
      </c>
      <c r="E16" s="451">
        <v>149240</v>
      </c>
      <c r="F16" s="265">
        <v>31.25</v>
      </c>
      <c r="G16" s="463" t="s">
        <v>220</v>
      </c>
    </row>
    <row r="17" spans="2:7" ht="38.25" customHeight="1">
      <c r="B17" s="701"/>
      <c r="C17" s="670"/>
      <c r="D17" s="445" t="s">
        <v>86</v>
      </c>
      <c r="E17" s="487">
        <v>42590</v>
      </c>
      <c r="F17" s="423">
        <v>0</v>
      </c>
      <c r="G17" s="463" t="s">
        <v>209</v>
      </c>
    </row>
    <row r="18" spans="2:7" ht="38.25" customHeight="1">
      <c r="B18" s="701"/>
      <c r="C18" s="670"/>
      <c r="D18" s="466" t="s">
        <v>123</v>
      </c>
      <c r="E18" s="451">
        <v>6960</v>
      </c>
      <c r="F18" s="265"/>
      <c r="G18" s="463" t="s">
        <v>211</v>
      </c>
    </row>
    <row r="19" spans="2:7" ht="38.25" customHeight="1">
      <c r="B19" s="701"/>
      <c r="C19" s="670"/>
      <c r="D19" s="466" t="s">
        <v>127</v>
      </c>
      <c r="E19" s="451">
        <v>199210</v>
      </c>
      <c r="F19" s="265"/>
      <c r="G19" s="463" t="s">
        <v>212</v>
      </c>
    </row>
    <row r="20" spans="2:7" ht="38.25" customHeight="1">
      <c r="B20" s="701"/>
      <c r="C20" s="670"/>
      <c r="D20" s="466" t="s">
        <v>33</v>
      </c>
      <c r="E20" s="451">
        <v>29370</v>
      </c>
      <c r="F20" s="265"/>
      <c r="G20" s="450" t="s">
        <v>21</v>
      </c>
    </row>
    <row r="21" spans="2:7" ht="38.25" customHeight="1">
      <c r="B21" s="701"/>
      <c r="C21" s="670"/>
      <c r="D21" s="445" t="s">
        <v>90</v>
      </c>
      <c r="E21" s="451">
        <v>52750</v>
      </c>
      <c r="F21" s="265"/>
      <c r="G21" s="463" t="s">
        <v>223</v>
      </c>
    </row>
    <row r="22" spans="2:7" ht="38.25" customHeight="1">
      <c r="B22" s="701"/>
      <c r="C22" s="670"/>
      <c r="D22" s="466" t="s">
        <v>119</v>
      </c>
      <c r="E22" s="451">
        <v>430000</v>
      </c>
      <c r="F22" s="265"/>
      <c r="G22" s="463" t="s">
        <v>260</v>
      </c>
    </row>
    <row r="23" spans="2:7" ht="38.25" customHeight="1">
      <c r="B23" s="701"/>
      <c r="C23" s="670"/>
      <c r="D23" s="466" t="s">
        <v>101</v>
      </c>
      <c r="E23" s="451">
        <v>29540</v>
      </c>
      <c r="F23" s="265"/>
      <c r="G23" s="463" t="s">
        <v>21</v>
      </c>
    </row>
    <row r="24" spans="2:7" ht="38.25" customHeight="1" thickBot="1">
      <c r="B24" s="701"/>
      <c r="C24" s="670"/>
      <c r="D24" s="446" t="s">
        <v>110</v>
      </c>
      <c r="E24" s="464">
        <v>60</v>
      </c>
      <c r="F24" s="442"/>
      <c r="G24" s="463" t="s">
        <v>222</v>
      </c>
    </row>
    <row r="25" spans="2:7" ht="38.25" customHeight="1" thickBot="1">
      <c r="B25" s="702"/>
      <c r="C25" s="671"/>
      <c r="D25" s="474" t="s">
        <v>6</v>
      </c>
      <c r="E25" s="475">
        <f>SUM(E16:E24)</f>
        <v>939720</v>
      </c>
      <c r="F25" s="476">
        <f t="shared" ref="F25" si="0">SUM(F16:F24)</f>
        <v>31.25</v>
      </c>
      <c r="G25" s="475"/>
    </row>
    <row r="26" spans="2:7" ht="38.25" customHeight="1">
      <c r="B26" s="692">
        <v>3</v>
      </c>
      <c r="C26" s="696" t="s">
        <v>218</v>
      </c>
      <c r="D26" s="490" t="s">
        <v>119</v>
      </c>
      <c r="E26" s="426">
        <v>395170</v>
      </c>
      <c r="F26" s="428"/>
      <c r="G26" s="455" t="s">
        <v>21</v>
      </c>
    </row>
    <row r="27" spans="2:7" ht="38.25" customHeight="1">
      <c r="B27" s="704"/>
      <c r="C27" s="705"/>
      <c r="D27" s="494" t="s">
        <v>101</v>
      </c>
      <c r="E27" s="563">
        <v>95620</v>
      </c>
      <c r="F27" s="423"/>
      <c r="G27" s="463" t="s">
        <v>21</v>
      </c>
    </row>
    <row r="28" spans="2:7" ht="38.25" customHeight="1">
      <c r="B28" s="704"/>
      <c r="C28" s="705"/>
      <c r="D28" s="494" t="s">
        <v>123</v>
      </c>
      <c r="E28" s="563">
        <v>169140</v>
      </c>
      <c r="F28" s="423"/>
      <c r="G28" s="463" t="s">
        <v>21</v>
      </c>
    </row>
    <row r="29" spans="2:7" ht="38.25" customHeight="1">
      <c r="B29" s="704"/>
      <c r="C29" s="705"/>
      <c r="D29" s="494" t="s">
        <v>86</v>
      </c>
      <c r="E29" s="563">
        <v>306150</v>
      </c>
      <c r="F29" s="423"/>
      <c r="G29" s="463" t="s">
        <v>21</v>
      </c>
    </row>
    <row r="30" spans="2:7" ht="38.25" customHeight="1">
      <c r="B30" s="704"/>
      <c r="C30" s="705"/>
      <c r="D30" s="494" t="s">
        <v>110</v>
      </c>
      <c r="E30" s="563">
        <v>495</v>
      </c>
      <c r="F30" s="423"/>
      <c r="G30" s="463" t="s">
        <v>222</v>
      </c>
    </row>
    <row r="31" spans="2:7" ht="38.25" customHeight="1" thickBot="1">
      <c r="B31" s="695"/>
      <c r="C31" s="699"/>
      <c r="D31" s="484" t="s">
        <v>6</v>
      </c>
      <c r="E31" s="485">
        <f>SUM(E26:E30)</f>
        <v>966575</v>
      </c>
      <c r="F31" s="486"/>
      <c r="G31" s="486"/>
    </row>
    <row r="32" spans="2:7" ht="38.25" customHeight="1">
      <c r="B32" s="692">
        <v>4</v>
      </c>
      <c r="C32" s="696" t="s">
        <v>207</v>
      </c>
      <c r="D32" s="490" t="s">
        <v>86</v>
      </c>
      <c r="E32" s="451">
        <v>111470</v>
      </c>
      <c r="F32" s="265">
        <v>18282.050000000003</v>
      </c>
      <c r="G32" s="463" t="s">
        <v>263</v>
      </c>
    </row>
    <row r="33" spans="2:7" ht="38.25" customHeight="1">
      <c r="B33" s="693"/>
      <c r="C33" s="697"/>
      <c r="D33" s="494" t="s">
        <v>236</v>
      </c>
      <c r="E33" s="563">
        <v>84508</v>
      </c>
      <c r="F33" s="423">
        <v>83075.55</v>
      </c>
      <c r="G33" s="463" t="s">
        <v>266</v>
      </c>
    </row>
    <row r="34" spans="2:7" ht="38.25" customHeight="1">
      <c r="B34" s="693"/>
      <c r="C34" s="697"/>
      <c r="D34" s="494" t="s">
        <v>151</v>
      </c>
      <c r="E34" s="451">
        <v>1368045</v>
      </c>
      <c r="F34" s="265">
        <v>388900.16500000004</v>
      </c>
      <c r="G34" s="463" t="s">
        <v>267</v>
      </c>
    </row>
    <row r="35" spans="2:7" ht="38.25" customHeight="1">
      <c r="B35" s="693"/>
      <c r="C35" s="697"/>
      <c r="D35" s="494" t="s">
        <v>127</v>
      </c>
      <c r="E35" s="563">
        <v>1413270</v>
      </c>
      <c r="F35" s="423">
        <v>310161.70669999998</v>
      </c>
      <c r="G35" s="450" t="s">
        <v>213</v>
      </c>
    </row>
    <row r="36" spans="2:7" ht="38.25" customHeight="1">
      <c r="B36" s="694"/>
      <c r="C36" s="698"/>
      <c r="D36" s="494" t="s">
        <v>126</v>
      </c>
      <c r="E36" s="563">
        <v>294320</v>
      </c>
      <c r="F36" s="423">
        <v>51026.662999999971</v>
      </c>
      <c r="G36" s="450" t="s">
        <v>226</v>
      </c>
    </row>
    <row r="37" spans="2:7" ht="38.25" customHeight="1" thickBot="1">
      <c r="B37" s="694"/>
      <c r="C37" s="698"/>
      <c r="D37" s="494" t="s">
        <v>90</v>
      </c>
      <c r="E37" s="563">
        <v>114015</v>
      </c>
      <c r="F37" s="423">
        <v>32687.95</v>
      </c>
      <c r="G37" s="450" t="s">
        <v>223</v>
      </c>
    </row>
    <row r="38" spans="2:7" ht="38.25" customHeight="1" thickBot="1">
      <c r="B38" s="695"/>
      <c r="C38" s="699"/>
      <c r="D38" s="474" t="s">
        <v>6</v>
      </c>
      <c r="E38" s="475">
        <f>SUM(E32:E37)</f>
        <v>3385628</v>
      </c>
      <c r="F38" s="476">
        <f t="shared" ref="F38" si="1">SUM(F32:F37)</f>
        <v>884134.08469999989</v>
      </c>
      <c r="G38" s="476"/>
    </row>
    <row r="39" spans="2:7" ht="38.25" customHeight="1">
      <c r="B39" s="700">
        <v>5</v>
      </c>
      <c r="C39" s="679" t="s">
        <v>215</v>
      </c>
      <c r="D39" s="490" t="s">
        <v>90</v>
      </c>
      <c r="E39" s="563">
        <v>1306225</v>
      </c>
      <c r="F39" s="423">
        <v>449344.3455</v>
      </c>
      <c r="G39" s="463" t="s">
        <v>223</v>
      </c>
    </row>
    <row r="40" spans="2:7" ht="38.25" customHeight="1">
      <c r="B40" s="701"/>
      <c r="C40" s="670"/>
      <c r="D40" s="494" t="s">
        <v>126</v>
      </c>
      <c r="E40" s="563">
        <v>531828</v>
      </c>
      <c r="F40" s="423">
        <v>121740.59499999999</v>
      </c>
      <c r="G40" s="463" t="s">
        <v>225</v>
      </c>
    </row>
    <row r="41" spans="2:7" ht="38.25" customHeight="1">
      <c r="B41" s="701"/>
      <c r="C41" s="670"/>
      <c r="D41" s="494" t="s">
        <v>119</v>
      </c>
      <c r="E41" s="563">
        <v>107308</v>
      </c>
      <c r="F41" s="423">
        <v>42531.35</v>
      </c>
      <c r="G41" s="463" t="s">
        <v>260</v>
      </c>
    </row>
    <row r="42" spans="2:7" ht="38.25" customHeight="1">
      <c r="B42" s="701"/>
      <c r="C42" s="670"/>
      <c r="D42" s="445" t="s">
        <v>86</v>
      </c>
      <c r="E42" s="487">
        <v>57703</v>
      </c>
      <c r="F42" s="423">
        <v>0</v>
      </c>
      <c r="G42" s="463" t="s">
        <v>224</v>
      </c>
    </row>
    <row r="43" spans="2:7" ht="38.25" customHeight="1">
      <c r="B43" s="701"/>
      <c r="C43" s="670"/>
      <c r="D43" s="447" t="s">
        <v>110</v>
      </c>
      <c r="E43" s="487">
        <v>3535</v>
      </c>
      <c r="F43" s="265">
        <v>0</v>
      </c>
      <c r="G43" s="463" t="s">
        <v>222</v>
      </c>
    </row>
    <row r="44" spans="2:7" ht="38.25" customHeight="1" thickBot="1">
      <c r="B44" s="701"/>
      <c r="C44" s="670"/>
      <c r="D44" s="447" t="s">
        <v>269</v>
      </c>
      <c r="E44" s="464">
        <v>40872</v>
      </c>
      <c r="F44" s="346">
        <v>0</v>
      </c>
      <c r="G44" s="463" t="s">
        <v>21</v>
      </c>
    </row>
    <row r="45" spans="2:7" ht="38.25" customHeight="1" thickBot="1">
      <c r="B45" s="702"/>
      <c r="C45" s="671"/>
      <c r="D45" s="474" t="s">
        <v>6</v>
      </c>
      <c r="E45" s="475">
        <f>SUM(E39:E44)</f>
        <v>2047471</v>
      </c>
      <c r="F45" s="476">
        <f>SUM(F39:F44)</f>
        <v>613616.2905</v>
      </c>
      <c r="G45" s="476"/>
    </row>
    <row r="46" spans="2:7" ht="38.25" customHeight="1">
      <c r="B46" s="692">
        <v>6</v>
      </c>
      <c r="C46" s="696" t="s">
        <v>205</v>
      </c>
      <c r="D46" s="490" t="s">
        <v>86</v>
      </c>
      <c r="E46" s="451">
        <v>13210</v>
      </c>
      <c r="F46" s="265">
        <v>3278.25</v>
      </c>
      <c r="G46" s="463" t="s">
        <v>262</v>
      </c>
    </row>
    <row r="47" spans="2:7" ht="38.25" customHeight="1" thickBot="1">
      <c r="B47" s="695"/>
      <c r="C47" s="699"/>
      <c r="D47" s="484" t="s">
        <v>6</v>
      </c>
      <c r="E47" s="485">
        <f>SUM(E46:E46)</f>
        <v>13210</v>
      </c>
      <c r="F47" s="486">
        <f>SUM(F46)</f>
        <v>3278.25</v>
      </c>
      <c r="G47" s="486"/>
    </row>
    <row r="48" spans="2:7" ht="38.25" customHeight="1">
      <c r="B48" s="692">
        <v>7</v>
      </c>
      <c r="C48" s="696" t="s">
        <v>219</v>
      </c>
      <c r="D48" s="490" t="s">
        <v>110</v>
      </c>
      <c r="E48" s="426">
        <v>123</v>
      </c>
      <c r="F48" s="428"/>
      <c r="G48" s="463" t="s">
        <v>21</v>
      </c>
    </row>
    <row r="49" spans="2:7" ht="38.25" customHeight="1">
      <c r="B49" s="704"/>
      <c r="C49" s="705"/>
      <c r="D49" s="466" t="s">
        <v>217</v>
      </c>
      <c r="E49" s="487">
        <v>31473</v>
      </c>
      <c r="F49" s="265"/>
      <c r="G49" s="463" t="s">
        <v>260</v>
      </c>
    </row>
    <row r="50" spans="2:7" ht="38.25" customHeight="1" thickBot="1">
      <c r="B50" s="695"/>
      <c r="C50" s="699"/>
      <c r="D50" s="484" t="s">
        <v>6</v>
      </c>
      <c r="E50" s="485">
        <f>SUM(E48:E49)</f>
        <v>31596</v>
      </c>
      <c r="F50" s="486"/>
      <c r="G50" s="486"/>
    </row>
    <row r="51" spans="2:7" ht="38.25" customHeight="1" thickBot="1">
      <c r="B51" s="708" t="s">
        <v>203</v>
      </c>
      <c r="C51" s="709"/>
      <c r="D51" s="477"/>
      <c r="E51" s="472">
        <f>E47+E38+E25+E15+E45+E31+E50</f>
        <v>7718616</v>
      </c>
      <c r="F51" s="473">
        <f t="shared" ref="F51:G51" si="2">F47+F38+F25+F15+F45+F31+F50</f>
        <v>1659511.3181999999</v>
      </c>
      <c r="G51" s="472">
        <f t="shared" si="2"/>
        <v>0</v>
      </c>
    </row>
    <row r="52" spans="2:7" ht="27.75">
      <c r="B52" s="707" t="s">
        <v>227</v>
      </c>
      <c r="C52" s="707"/>
      <c r="D52" s="707"/>
      <c r="E52" s="27"/>
      <c r="F52" s="28"/>
    </row>
    <row r="53" spans="2:7" ht="23.25">
      <c r="B53" s="556" t="s">
        <v>264</v>
      </c>
      <c r="C53" s="556"/>
      <c r="D53" s="556"/>
      <c r="E53" s="27"/>
      <c r="F53" s="28"/>
    </row>
    <row r="54" spans="2:7" ht="23.25" hidden="1">
      <c r="B54" s="556" t="s">
        <v>265</v>
      </c>
      <c r="C54" s="556"/>
      <c r="D54" s="556"/>
      <c r="E54" s="27"/>
      <c r="F54" s="28"/>
    </row>
    <row r="55" spans="2:7" ht="18" customHeight="1">
      <c r="B55" s="706"/>
      <c r="C55" s="706"/>
      <c r="D55" s="706"/>
      <c r="E55" s="706"/>
      <c r="F55" s="706"/>
      <c r="G55" s="706"/>
    </row>
    <row r="56" spans="2:7" ht="18.75" customHeight="1">
      <c r="B56" s="561"/>
      <c r="C56" s="561"/>
      <c r="D56" s="561"/>
      <c r="E56" s="561"/>
      <c r="F56" s="561"/>
      <c r="G56" s="561"/>
    </row>
    <row r="57" spans="2:7" ht="47.25" customHeight="1">
      <c r="C57" s="562" t="s">
        <v>111</v>
      </c>
      <c r="D57" s="562" t="s">
        <v>106</v>
      </c>
      <c r="E57" s="6" t="s">
        <v>107</v>
      </c>
    </row>
    <row r="58" spans="2:7" ht="26.25" customHeight="1" thickBot="1">
      <c r="C58" s="453" t="s">
        <v>204</v>
      </c>
      <c r="E58" s="10"/>
    </row>
    <row r="59" spans="2:7" ht="37.5" customHeight="1">
      <c r="C59" s="481" t="s">
        <v>37</v>
      </c>
      <c r="D59" s="478">
        <f>E15+E25+E31</f>
        <v>2240711</v>
      </c>
      <c r="E59" s="478" t="e">
        <f>#REF!+#REF!</f>
        <v>#REF!</v>
      </c>
    </row>
    <row r="60" spans="2:7" ht="33.75" customHeight="1" thickBot="1">
      <c r="C60" s="482" t="s">
        <v>208</v>
      </c>
      <c r="D60" s="479">
        <f>E47+E38+E45+E50</f>
        <v>5477905</v>
      </c>
      <c r="E60" s="479" t="e">
        <f>#REF!+#REF!+#REF!</f>
        <v>#REF!</v>
      </c>
    </row>
    <row r="61" spans="2:7" ht="36.75" customHeight="1" thickBot="1">
      <c r="C61" s="483" t="s">
        <v>6</v>
      </c>
      <c r="D61" s="480">
        <f>SUM(D59:D60)</f>
        <v>7718616</v>
      </c>
      <c r="E61" s="480" t="e">
        <f t="shared" ref="E61" si="3">SUM(E59+E60)</f>
        <v>#REF!</v>
      </c>
      <c r="G61" s="163"/>
    </row>
    <row r="62" spans="2:7">
      <c r="G62" s="21"/>
    </row>
    <row r="63" spans="2:7" ht="18" hidden="1">
      <c r="B63" s="440" t="s">
        <v>198</v>
      </c>
    </row>
    <row r="64" spans="2:7" ht="18" hidden="1">
      <c r="B64" s="440" t="s">
        <v>196</v>
      </c>
    </row>
    <row r="65" spans="2:7" ht="18" hidden="1">
      <c r="B65" s="440" t="s">
        <v>197</v>
      </c>
    </row>
    <row r="67" spans="2:7">
      <c r="G67" s="3"/>
    </row>
    <row r="69" spans="2:7">
      <c r="G69" s="3"/>
    </row>
    <row r="70" spans="2:7">
      <c r="E70" s="11"/>
    </row>
    <row r="72" spans="2:7">
      <c r="D72" s="10"/>
      <c r="F72" s="3"/>
    </row>
    <row r="73" spans="2:7">
      <c r="E73" s="11"/>
    </row>
    <row r="74" spans="2:7">
      <c r="F74" s="3"/>
    </row>
  </sheetData>
  <mergeCells count="20">
    <mergeCell ref="B55:G55"/>
    <mergeCell ref="B52:D52"/>
    <mergeCell ref="C39:C45"/>
    <mergeCell ref="B39:B45"/>
    <mergeCell ref="B51:C51"/>
    <mergeCell ref="B48:B50"/>
    <mergeCell ref="C48:C50"/>
    <mergeCell ref="B46:B47"/>
    <mergeCell ref="C46:C47"/>
    <mergeCell ref="B32:B38"/>
    <mergeCell ref="C32:C38"/>
    <mergeCell ref="B16:B25"/>
    <mergeCell ref="B26:B31"/>
    <mergeCell ref="C26:C31"/>
    <mergeCell ref="B1:G1"/>
    <mergeCell ref="B2:G2"/>
    <mergeCell ref="C16:C25"/>
    <mergeCell ref="B5:C5"/>
    <mergeCell ref="B6:B15"/>
    <mergeCell ref="C6:C15"/>
  </mergeCells>
  <printOptions horizontalCentered="1"/>
  <pageMargins left="0.62" right="0.23622047244094491" top="0.27559055118110237" bottom="0.32" header="0.15748031496062992" footer="0.21"/>
  <pageSetup paperSize="9" scale="46" fitToHeight="2"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B1:S23"/>
  <sheetViews>
    <sheetView topLeftCell="A4" zoomScale="70" zoomScaleNormal="70" zoomScaleSheetLayoutView="85" workbookViewId="0">
      <selection activeCell="J17" sqref="J17"/>
    </sheetView>
  </sheetViews>
  <sheetFormatPr defaultColWidth="9.140625" defaultRowHeight="15"/>
  <cols>
    <col min="1" max="1" width="9.140625" style="1"/>
    <col min="2" max="2" width="7" style="1" customWidth="1"/>
    <col min="3" max="3" width="18.5703125" style="1" customWidth="1"/>
    <col min="4" max="4" width="23.5703125" style="1" customWidth="1"/>
    <col min="5" max="5" width="19" style="1" customWidth="1"/>
    <col min="6" max="6" width="51.7109375" style="1" customWidth="1"/>
    <col min="7" max="7" width="18.42578125" style="1" customWidth="1"/>
    <col min="8" max="8" width="19.42578125" style="1" customWidth="1"/>
    <col min="9" max="9" width="17.85546875" style="1" customWidth="1"/>
    <col min="10" max="10" width="20.140625" style="1" customWidth="1"/>
    <col min="11" max="11" width="15.28515625" style="1" customWidth="1"/>
    <col min="12" max="12" width="19.42578125" style="1" bestFit="1" customWidth="1"/>
    <col min="13" max="13" width="34.28515625" style="1" customWidth="1"/>
    <col min="14" max="14" width="14.28515625" style="1" customWidth="1"/>
    <col min="15" max="15" width="15.85546875" style="441" hidden="1" customWidth="1"/>
    <col min="16" max="16" width="14.42578125" style="420" hidden="1" customWidth="1"/>
    <col min="17" max="17" width="5.140625" style="420" customWidth="1"/>
    <col min="18" max="18" width="16.7109375" style="1" customWidth="1"/>
    <col min="19" max="19" width="20.28515625" style="1" customWidth="1"/>
    <col min="20" max="20" width="10.5703125" style="1" bestFit="1" customWidth="1"/>
    <col min="21" max="16384" width="9.140625" style="1"/>
  </cols>
  <sheetData>
    <row r="1" spans="2:19" ht="19.5" customHeight="1">
      <c r="D1" s="499"/>
      <c r="E1" s="499"/>
      <c r="F1" s="499"/>
      <c r="G1" s="499"/>
      <c r="H1" s="499"/>
      <c r="I1" s="499"/>
    </row>
    <row r="2" spans="2:19" ht="33" customHeight="1">
      <c r="B2" s="672" t="s">
        <v>237</v>
      </c>
      <c r="C2" s="672"/>
      <c r="D2" s="672"/>
      <c r="E2" s="672"/>
      <c r="F2" s="672"/>
      <c r="G2" s="672"/>
      <c r="H2" s="672"/>
      <c r="I2" s="672"/>
      <c r="J2" s="672"/>
      <c r="K2" s="672"/>
      <c r="L2" s="672"/>
      <c r="M2" s="672"/>
      <c r="N2" s="672"/>
      <c r="O2" s="672"/>
      <c r="P2" s="672"/>
      <c r="Q2" s="421"/>
    </row>
    <row r="3" spans="2:19" ht="24.75" customHeight="1" thickBot="1">
      <c r="B3" s="493" t="e">
        <f>#REF!</f>
        <v>#REF!</v>
      </c>
      <c r="C3" s="493"/>
      <c r="D3" s="493"/>
      <c r="K3" s="268"/>
      <c r="L3" s="268"/>
      <c r="M3" s="703" t="s">
        <v>136</v>
      </c>
      <c r="N3" s="703"/>
      <c r="P3" s="422"/>
      <c r="Q3" s="422"/>
    </row>
    <row r="4" spans="2:19" ht="73.5" customHeight="1" thickBot="1">
      <c r="B4" s="457" t="s">
        <v>132</v>
      </c>
      <c r="C4" s="244" t="s">
        <v>0</v>
      </c>
      <c r="D4" s="458" t="s">
        <v>1</v>
      </c>
      <c r="E4" s="244" t="s">
        <v>238</v>
      </c>
      <c r="F4" s="244" t="s">
        <v>228</v>
      </c>
      <c r="G4" s="244" t="s">
        <v>194</v>
      </c>
      <c r="H4" s="244" t="s">
        <v>229</v>
      </c>
      <c r="I4" s="459" t="s">
        <v>131</v>
      </c>
      <c r="J4" s="460" t="s">
        <v>250</v>
      </c>
      <c r="K4" s="460" t="s">
        <v>24</v>
      </c>
      <c r="L4" s="461" t="s">
        <v>230</v>
      </c>
      <c r="M4" s="460" t="s">
        <v>88</v>
      </c>
      <c r="N4" s="462" t="s">
        <v>138</v>
      </c>
      <c r="O4" s="456" t="s">
        <v>189</v>
      </c>
      <c r="P4" s="411" t="s">
        <v>191</v>
      </c>
      <c r="Q4" s="412"/>
      <c r="R4" s="491"/>
      <c r="S4" s="491"/>
    </row>
    <row r="5" spans="2:19" ht="25.5" customHeight="1" thickBot="1">
      <c r="B5" s="712" t="s">
        <v>201</v>
      </c>
      <c r="C5" s="712"/>
      <c r="D5" s="468"/>
      <c r="E5" s="413"/>
      <c r="F5" s="413"/>
      <c r="G5" s="413"/>
      <c r="H5" s="413"/>
      <c r="I5" s="432"/>
      <c r="J5" s="432"/>
      <c r="K5" s="413"/>
      <c r="L5" s="432"/>
      <c r="M5" s="469"/>
      <c r="N5" s="432"/>
      <c r="O5" s="467"/>
      <c r="P5" s="431"/>
      <c r="Q5" s="416"/>
      <c r="S5" s="492"/>
    </row>
    <row r="6" spans="2:19" ht="66" customHeight="1">
      <c r="B6" s="692">
        <v>4</v>
      </c>
      <c r="C6" s="696" t="s">
        <v>207</v>
      </c>
      <c r="D6" s="500" t="s">
        <v>86</v>
      </c>
      <c r="E6" s="34">
        <v>103315</v>
      </c>
      <c r="F6" s="34" t="s">
        <v>231</v>
      </c>
      <c r="G6" s="503">
        <v>30</v>
      </c>
      <c r="H6" s="503">
        <v>11</v>
      </c>
      <c r="I6" s="507">
        <f>R6</f>
        <v>8.8999999999999986</v>
      </c>
      <c r="J6" s="508">
        <v>66.95</v>
      </c>
      <c r="K6" s="503">
        <v>60</v>
      </c>
      <c r="L6" s="509">
        <v>0</v>
      </c>
      <c r="M6" s="516" t="s">
        <v>209</v>
      </c>
      <c r="N6" s="517">
        <f t="shared" ref="N6:N11" si="0">J6*4892/1000000</f>
        <v>0.32751940000000002</v>
      </c>
      <c r="O6" s="444"/>
      <c r="P6" s="489"/>
      <c r="Q6" s="417"/>
      <c r="R6" s="465">
        <f t="shared" ref="R6:R11" si="1">J6-S6</f>
        <v>8.8999999999999986</v>
      </c>
      <c r="S6" s="488">
        <v>58.050000000000004</v>
      </c>
    </row>
    <row r="7" spans="2:19" ht="66" customHeight="1">
      <c r="B7" s="693"/>
      <c r="C7" s="697"/>
      <c r="D7" s="501" t="s">
        <v>236</v>
      </c>
      <c r="E7" s="227">
        <v>59508</v>
      </c>
      <c r="F7" s="227" t="s">
        <v>232</v>
      </c>
      <c r="G7" s="504">
        <v>38</v>
      </c>
      <c r="H7" s="504">
        <v>38</v>
      </c>
      <c r="I7" s="510">
        <f t="shared" ref="I7:I9" si="2">R7</f>
        <v>1415.25</v>
      </c>
      <c r="J7" s="511">
        <v>19930.05</v>
      </c>
      <c r="K7" s="504">
        <v>12170</v>
      </c>
      <c r="L7" s="512">
        <v>6082.25</v>
      </c>
      <c r="M7" s="518" t="s">
        <v>216</v>
      </c>
      <c r="N7" s="519">
        <f t="shared" si="0"/>
        <v>97.497804599999995</v>
      </c>
      <c r="O7" s="444"/>
      <c r="P7" s="489"/>
      <c r="Q7" s="417"/>
      <c r="R7" s="465">
        <f t="shared" si="1"/>
        <v>1415.25</v>
      </c>
      <c r="S7" s="488">
        <v>18514.8</v>
      </c>
    </row>
    <row r="8" spans="2:19" ht="66" customHeight="1">
      <c r="B8" s="693"/>
      <c r="C8" s="697"/>
      <c r="D8" s="501" t="s">
        <v>151</v>
      </c>
      <c r="E8" s="227">
        <v>1368045</v>
      </c>
      <c r="F8" s="227" t="s">
        <v>233</v>
      </c>
      <c r="G8" s="504">
        <v>311</v>
      </c>
      <c r="H8" s="504">
        <v>140</v>
      </c>
      <c r="I8" s="510">
        <f t="shared" si="2"/>
        <v>1858.2299999999996</v>
      </c>
      <c r="J8" s="511">
        <v>4064.6019999999994</v>
      </c>
      <c r="K8" s="504">
        <v>2135</v>
      </c>
      <c r="L8" s="512"/>
      <c r="M8" s="518" t="s">
        <v>210</v>
      </c>
      <c r="N8" s="519">
        <f t="shared" si="0"/>
        <v>19.884032983999997</v>
      </c>
      <c r="O8" s="444"/>
      <c r="P8" s="489"/>
      <c r="Q8" s="417"/>
      <c r="R8" s="465">
        <f t="shared" si="1"/>
        <v>1858.2299999999996</v>
      </c>
      <c r="S8" s="488">
        <v>2206.3719999999998</v>
      </c>
    </row>
    <row r="9" spans="2:19" ht="66" customHeight="1">
      <c r="B9" s="693"/>
      <c r="C9" s="697"/>
      <c r="D9" s="501" t="s">
        <v>127</v>
      </c>
      <c r="E9" s="227">
        <v>1308238</v>
      </c>
      <c r="F9" s="227" t="s">
        <v>239</v>
      </c>
      <c r="G9" s="504">
        <v>304</v>
      </c>
      <c r="H9" s="504">
        <v>43</v>
      </c>
      <c r="I9" s="510">
        <f t="shared" si="2"/>
        <v>332.00399999999968</v>
      </c>
      <c r="J9" s="511">
        <v>1813.4469999999999</v>
      </c>
      <c r="K9" s="504">
        <v>849</v>
      </c>
      <c r="L9" s="512">
        <v>769.46799999999996</v>
      </c>
      <c r="M9" s="520" t="s">
        <v>213</v>
      </c>
      <c r="N9" s="519">
        <f t="shared" si="0"/>
        <v>8.8713827240000001</v>
      </c>
      <c r="O9" s="444"/>
      <c r="P9" s="489"/>
      <c r="Q9" s="417"/>
      <c r="R9" s="465">
        <f t="shared" si="1"/>
        <v>332.00399999999968</v>
      </c>
      <c r="S9" s="488">
        <v>1481.4430000000002</v>
      </c>
    </row>
    <row r="10" spans="2:19" ht="66" customHeight="1">
      <c r="B10" s="694"/>
      <c r="C10" s="698"/>
      <c r="D10" s="501" t="s">
        <v>126</v>
      </c>
      <c r="E10" s="227">
        <v>292465</v>
      </c>
      <c r="F10" s="227" t="s">
        <v>234</v>
      </c>
      <c r="G10" s="504">
        <v>86</v>
      </c>
      <c r="H10" s="504">
        <v>22</v>
      </c>
      <c r="I10" s="510">
        <f>R10</f>
        <v>192.55000000000007</v>
      </c>
      <c r="J10" s="511">
        <v>567.45000000000005</v>
      </c>
      <c r="K10" s="504">
        <v>283</v>
      </c>
      <c r="L10" s="512"/>
      <c r="M10" s="520" t="s">
        <v>226</v>
      </c>
      <c r="N10" s="519">
        <f t="shared" si="0"/>
        <v>2.7759654000000005</v>
      </c>
      <c r="O10" s="444"/>
      <c r="P10" s="489"/>
      <c r="Q10" s="417"/>
      <c r="R10" s="465">
        <f t="shared" si="1"/>
        <v>192.55000000000007</v>
      </c>
      <c r="S10" s="488">
        <v>374.9</v>
      </c>
    </row>
    <row r="11" spans="2:19" ht="66" customHeight="1" thickBot="1">
      <c r="B11" s="694"/>
      <c r="C11" s="698"/>
      <c r="D11" s="502" t="s">
        <v>90</v>
      </c>
      <c r="E11" s="123">
        <v>92045</v>
      </c>
      <c r="F11" s="123" t="s">
        <v>235</v>
      </c>
      <c r="G11" s="505"/>
      <c r="H11" s="505"/>
      <c r="I11" s="510">
        <f t="shared" ref="I11" si="3">R11</f>
        <v>0</v>
      </c>
      <c r="J11" s="513"/>
      <c r="K11" s="505"/>
      <c r="L11" s="513">
        <v>111.5</v>
      </c>
      <c r="M11" s="518" t="s">
        <v>223</v>
      </c>
      <c r="N11" s="519">
        <f t="shared" si="0"/>
        <v>0</v>
      </c>
      <c r="O11" s="470"/>
      <c r="P11" s="471"/>
      <c r="Q11" s="416"/>
      <c r="R11" s="465">
        <f t="shared" si="1"/>
        <v>0</v>
      </c>
      <c r="S11" s="423"/>
    </row>
    <row r="12" spans="2:19" ht="66" customHeight="1" thickBot="1">
      <c r="B12" s="695"/>
      <c r="C12" s="699"/>
      <c r="D12" s="514" t="s">
        <v>6</v>
      </c>
      <c r="E12" s="506">
        <f>SUM(E6:E11)</f>
        <v>3223616</v>
      </c>
      <c r="F12" s="506"/>
      <c r="G12" s="506">
        <f t="shared" ref="G12:H12" si="4">SUM(G6:G11)</f>
        <v>769</v>
      </c>
      <c r="H12" s="506">
        <f t="shared" si="4"/>
        <v>254</v>
      </c>
      <c r="I12" s="515">
        <f>SUM(I6:I11)</f>
        <v>3806.9339999999993</v>
      </c>
      <c r="J12" s="515">
        <f t="shared" ref="J12" si="5">SUM(J6:J11)</f>
        <v>26442.499</v>
      </c>
      <c r="K12" s="506">
        <f>SUM(K6:K11)</f>
        <v>15497</v>
      </c>
      <c r="L12" s="515">
        <f>SUM(L6:L11)</f>
        <v>6963.2179999999998</v>
      </c>
      <c r="M12" s="473"/>
      <c r="N12" s="521">
        <f>SUM(N6:N11)</f>
        <v>129.356705108</v>
      </c>
      <c r="O12" s="454"/>
      <c r="P12" s="452"/>
      <c r="Q12" s="416"/>
      <c r="R12" s="449"/>
      <c r="S12" s="265">
        <v>0</v>
      </c>
    </row>
    <row r="13" spans="2:19" ht="38.25" hidden="1" customHeight="1">
      <c r="E13" s="11"/>
      <c r="F13" s="11"/>
      <c r="G13" s="11"/>
      <c r="H13" s="11"/>
    </row>
    <row r="14" spans="2:19">
      <c r="J14" s="3"/>
    </row>
    <row r="15" spans="2:19" ht="39.75" customHeight="1">
      <c r="B15" s="710" t="s">
        <v>249</v>
      </c>
      <c r="C15" s="710"/>
      <c r="D15" s="710"/>
      <c r="E15" s="710"/>
      <c r="F15" s="710"/>
      <c r="G15" s="710"/>
      <c r="H15" s="710"/>
      <c r="I15" s="710"/>
      <c r="J15" s="710"/>
      <c r="K15" s="710"/>
      <c r="L15" s="710"/>
      <c r="M15" s="710"/>
      <c r="N15" s="710"/>
    </row>
    <row r="16" spans="2:19" ht="15.75" thickBot="1"/>
    <row r="17" spans="5:17" ht="72">
      <c r="E17" s="498" t="s">
        <v>240</v>
      </c>
      <c r="F17" s="498" t="s">
        <v>241</v>
      </c>
      <c r="G17" s="498" t="s">
        <v>247</v>
      </c>
      <c r="H17" s="498" t="s">
        <v>248</v>
      </c>
      <c r="I17" s="498" t="s">
        <v>250</v>
      </c>
      <c r="K17" s="3"/>
    </row>
    <row r="18" spans="5:17" s="163" customFormat="1" ht="27" customHeight="1">
      <c r="E18" s="711" t="s">
        <v>127</v>
      </c>
      <c r="F18" s="276" t="s">
        <v>242</v>
      </c>
      <c r="G18" s="276">
        <v>185</v>
      </c>
      <c r="H18" s="276">
        <v>177</v>
      </c>
      <c r="I18" s="522">
        <v>1566.8667</v>
      </c>
      <c r="O18" s="441"/>
      <c r="P18" s="523"/>
      <c r="Q18" s="523"/>
    </row>
    <row r="19" spans="5:17" s="163" customFormat="1" ht="27" customHeight="1">
      <c r="E19" s="711"/>
      <c r="F19" s="276" t="s">
        <v>243</v>
      </c>
      <c r="G19" s="276">
        <v>46</v>
      </c>
      <c r="H19" s="276">
        <v>46</v>
      </c>
      <c r="I19" s="522">
        <v>246.58</v>
      </c>
      <c r="O19" s="441"/>
      <c r="P19" s="523"/>
      <c r="Q19" s="523"/>
    </row>
    <row r="20" spans="5:17" s="163" customFormat="1" ht="27" customHeight="1">
      <c r="E20" s="711"/>
      <c r="F20" s="276" t="s">
        <v>244</v>
      </c>
      <c r="G20" s="276">
        <v>44</v>
      </c>
      <c r="H20" s="276">
        <v>20</v>
      </c>
      <c r="I20" s="522">
        <v>0</v>
      </c>
      <c r="O20" s="441"/>
      <c r="P20" s="523"/>
      <c r="Q20" s="523"/>
    </row>
    <row r="21" spans="5:17" s="163" customFormat="1" ht="27" customHeight="1">
      <c r="E21" s="711"/>
      <c r="F21" s="276" t="s">
        <v>245</v>
      </c>
      <c r="G21" s="276">
        <v>64</v>
      </c>
      <c r="H21" s="276">
        <v>61</v>
      </c>
      <c r="I21" s="522">
        <v>0</v>
      </c>
      <c r="O21" s="441"/>
      <c r="P21" s="523"/>
      <c r="Q21" s="523"/>
    </row>
    <row r="22" spans="5:17" s="163" customFormat="1" ht="27" customHeight="1">
      <c r="E22" s="711"/>
      <c r="F22" s="276" t="s">
        <v>246</v>
      </c>
      <c r="G22" s="276">
        <v>30</v>
      </c>
      <c r="H22" s="276">
        <v>0</v>
      </c>
      <c r="I22" s="522">
        <v>0</v>
      </c>
      <c r="O22" s="441"/>
      <c r="P22" s="523"/>
      <c r="Q22" s="523"/>
    </row>
    <row r="23" spans="5:17" s="163" customFormat="1" ht="27" customHeight="1">
      <c r="E23" s="276"/>
      <c r="F23" s="276" t="s">
        <v>6</v>
      </c>
      <c r="G23" s="276">
        <f>SUM(G18:G22)</f>
        <v>369</v>
      </c>
      <c r="H23" s="276">
        <f>SUM(H18:H22)</f>
        <v>304</v>
      </c>
      <c r="I23" s="522">
        <f>SUM(I18:I22)</f>
        <v>1813.4467</v>
      </c>
      <c r="O23" s="441"/>
      <c r="P23" s="523"/>
      <c r="Q23" s="523"/>
    </row>
  </sheetData>
  <mergeCells count="7">
    <mergeCell ref="B15:N15"/>
    <mergeCell ref="B6:B12"/>
    <mergeCell ref="C6:C12"/>
    <mergeCell ref="E18:E22"/>
    <mergeCell ref="B2:P2"/>
    <mergeCell ref="M3:N3"/>
    <mergeCell ref="B5:C5"/>
  </mergeCells>
  <printOptions horizontalCentered="1"/>
  <pageMargins left="0.43307086614173229" right="0.23622047244094491" top="0.79" bottom="0.47244094488188981" header="0.15748031496062992" footer="0.47244094488188981"/>
  <pageSetup paperSize="9" scale="50"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B1:S29"/>
  <sheetViews>
    <sheetView zoomScale="70" zoomScaleNormal="70" zoomScaleSheetLayoutView="85" workbookViewId="0">
      <selection activeCell="J9" sqref="J9"/>
    </sheetView>
  </sheetViews>
  <sheetFormatPr defaultColWidth="9.140625" defaultRowHeight="15"/>
  <cols>
    <col min="1" max="1" width="9.140625" style="1"/>
    <col min="2" max="2" width="7" style="1" customWidth="1"/>
    <col min="3" max="3" width="18.5703125" style="1" customWidth="1"/>
    <col min="4" max="4" width="25.140625" style="1" customWidth="1"/>
    <col min="5" max="5" width="18.7109375" style="1" customWidth="1"/>
    <col min="6" max="6" width="34.5703125" style="1" customWidth="1"/>
    <col min="7" max="7" width="18.42578125" style="1" customWidth="1"/>
    <col min="8" max="8" width="19.42578125" style="1" customWidth="1"/>
    <col min="9" max="9" width="17.85546875" style="1" customWidth="1"/>
    <col min="10" max="10" width="20.140625" style="1" customWidth="1"/>
    <col min="11" max="11" width="15.28515625" style="1" customWidth="1"/>
    <col min="12" max="12" width="19.42578125" style="1" bestFit="1" customWidth="1"/>
    <col min="13" max="13" width="34.28515625" style="1" customWidth="1"/>
    <col min="14" max="14" width="14.28515625" style="1" customWidth="1"/>
    <col min="15" max="15" width="15.85546875" style="441" hidden="1" customWidth="1"/>
    <col min="16" max="16" width="14.42578125" style="420" hidden="1" customWidth="1"/>
    <col min="17" max="17" width="5.140625" style="420" customWidth="1"/>
    <col min="18" max="18" width="16.7109375" style="1" customWidth="1"/>
    <col min="19" max="19" width="20.28515625" style="1" customWidth="1"/>
    <col min="20" max="20" width="10.5703125" style="1" bestFit="1" customWidth="1"/>
    <col min="21" max="16384" width="9.140625" style="1"/>
  </cols>
  <sheetData>
    <row r="1" spans="2:19" ht="19.5" customHeight="1">
      <c r="D1" s="499"/>
      <c r="E1" s="499"/>
      <c r="F1" s="499"/>
      <c r="G1" s="591" t="s">
        <v>253</v>
      </c>
      <c r="H1" s="591"/>
      <c r="I1" s="591"/>
    </row>
    <row r="2" spans="2:19" ht="33" customHeight="1">
      <c r="B2" s="720" t="s">
        <v>237</v>
      </c>
      <c r="C2" s="720"/>
      <c r="D2" s="720"/>
      <c r="E2" s="720"/>
      <c r="F2" s="720"/>
      <c r="G2" s="720"/>
      <c r="H2" s="720"/>
      <c r="I2" s="720"/>
      <c r="J2" s="720"/>
      <c r="K2" s="720"/>
      <c r="L2" s="720"/>
      <c r="M2" s="720"/>
      <c r="N2" s="720"/>
      <c r="O2" s="720"/>
      <c r="P2" s="720"/>
      <c r="Q2" s="421"/>
    </row>
    <row r="3" spans="2:19" ht="24.75" customHeight="1" thickBot="1">
      <c r="B3" s="493" t="s">
        <v>257</v>
      </c>
      <c r="C3" s="493"/>
      <c r="D3" s="493"/>
      <c r="K3" s="268"/>
      <c r="L3" s="268"/>
      <c r="M3" s="703" t="s">
        <v>136</v>
      </c>
      <c r="N3" s="703"/>
      <c r="P3" s="422"/>
      <c r="Q3" s="422"/>
    </row>
    <row r="4" spans="2:19" ht="73.5" customHeight="1" thickBot="1">
      <c r="B4" s="457" t="s">
        <v>132</v>
      </c>
      <c r="C4" s="244" t="s">
        <v>0</v>
      </c>
      <c r="D4" s="458" t="s">
        <v>1</v>
      </c>
      <c r="E4" s="244" t="s">
        <v>238</v>
      </c>
      <c r="F4" s="244" t="s">
        <v>228</v>
      </c>
      <c r="G4" s="244" t="s">
        <v>194</v>
      </c>
      <c r="H4" s="244" t="s">
        <v>251</v>
      </c>
      <c r="I4" s="459" t="s">
        <v>258</v>
      </c>
      <c r="J4" s="460" t="s">
        <v>250</v>
      </c>
      <c r="K4" s="460" t="s">
        <v>24</v>
      </c>
      <c r="L4" s="461" t="s">
        <v>230</v>
      </c>
      <c r="M4" s="460" t="s">
        <v>88</v>
      </c>
      <c r="N4" s="462" t="s">
        <v>138</v>
      </c>
      <c r="O4" s="456" t="s">
        <v>189</v>
      </c>
      <c r="P4" s="411" t="s">
        <v>191</v>
      </c>
      <c r="Q4" s="412"/>
      <c r="R4" s="491"/>
      <c r="S4" s="491"/>
    </row>
    <row r="5" spans="2:19" ht="33" customHeight="1">
      <c r="B5" s="692">
        <v>4</v>
      </c>
      <c r="C5" s="696" t="s">
        <v>207</v>
      </c>
      <c r="D5" s="542" t="s">
        <v>86</v>
      </c>
      <c r="E5" s="34">
        <v>103315</v>
      </c>
      <c r="F5" s="34" t="s">
        <v>259</v>
      </c>
      <c r="G5" s="524">
        <v>136</v>
      </c>
      <c r="H5" s="524">
        <v>9</v>
      </c>
      <c r="I5" s="507">
        <f>R5</f>
        <v>76.599999999999994</v>
      </c>
      <c r="J5" s="509">
        <v>155.35</v>
      </c>
      <c r="K5" s="503">
        <v>130</v>
      </c>
      <c r="L5" s="509">
        <v>0</v>
      </c>
      <c r="M5" s="516" t="s">
        <v>209</v>
      </c>
      <c r="N5" s="517">
        <f t="shared" ref="N5:N15" si="0">J5*4892/1000000</f>
        <v>0.75997219999999999</v>
      </c>
      <c r="O5" s="444"/>
      <c r="P5" s="489"/>
      <c r="Q5" s="417"/>
      <c r="R5" s="465">
        <f t="shared" ref="R5:R15" si="1">J5-S5</f>
        <v>76.599999999999994</v>
      </c>
      <c r="S5" s="488">
        <v>78.75</v>
      </c>
    </row>
    <row r="6" spans="2:19" ht="33" customHeight="1">
      <c r="B6" s="693"/>
      <c r="C6" s="697"/>
      <c r="D6" s="543" t="s">
        <v>236</v>
      </c>
      <c r="E6" s="534">
        <v>59508</v>
      </c>
      <c r="F6" s="534" t="s">
        <v>232</v>
      </c>
      <c r="G6" s="525">
        <v>38</v>
      </c>
      <c r="H6" s="525">
        <v>38</v>
      </c>
      <c r="I6" s="538">
        <f t="shared" ref="I6:I12" si="2">R6</f>
        <v>1381.4599999999991</v>
      </c>
      <c r="J6" s="536">
        <v>22930.95</v>
      </c>
      <c r="K6" s="539">
        <v>13894</v>
      </c>
      <c r="L6" s="536">
        <v>6082.25</v>
      </c>
      <c r="M6" s="535" t="s">
        <v>216</v>
      </c>
      <c r="N6" s="541">
        <f t="shared" si="0"/>
        <v>112.17820740000001</v>
      </c>
      <c r="O6" s="444"/>
      <c r="P6" s="489"/>
      <c r="Q6" s="417"/>
      <c r="R6" s="465">
        <f t="shared" si="1"/>
        <v>1381.4599999999991</v>
      </c>
      <c r="S6" s="488">
        <v>21549.49</v>
      </c>
    </row>
    <row r="7" spans="2:19" ht="33" customHeight="1">
      <c r="B7" s="693"/>
      <c r="C7" s="697"/>
      <c r="D7" s="543" t="s">
        <v>151</v>
      </c>
      <c r="E7" s="534">
        <v>1368045</v>
      </c>
      <c r="F7" s="534" t="s">
        <v>233</v>
      </c>
      <c r="G7" s="525">
        <v>311</v>
      </c>
      <c r="H7" s="525">
        <v>140</v>
      </c>
      <c r="I7" s="538">
        <f t="shared" si="2"/>
        <v>0</v>
      </c>
      <c r="J7" s="536">
        <v>6499.3629999999994</v>
      </c>
      <c r="K7" s="539">
        <v>3322</v>
      </c>
      <c r="L7" s="536"/>
      <c r="M7" s="535" t="s">
        <v>210</v>
      </c>
      <c r="N7" s="541">
        <f t="shared" si="0"/>
        <v>31.794883795999997</v>
      </c>
      <c r="O7" s="444"/>
      <c r="P7" s="489"/>
      <c r="Q7" s="417"/>
      <c r="R7" s="465">
        <f t="shared" si="1"/>
        <v>0</v>
      </c>
      <c r="S7" s="488">
        <v>6499.3629999999994</v>
      </c>
    </row>
    <row r="8" spans="2:19" ht="33" customHeight="1">
      <c r="B8" s="693"/>
      <c r="C8" s="697"/>
      <c r="D8" s="713" t="s">
        <v>127</v>
      </c>
      <c r="E8" s="716">
        <v>1308238</v>
      </c>
      <c r="F8" s="534" t="s">
        <v>242</v>
      </c>
      <c r="G8" s="547">
        <v>177</v>
      </c>
      <c r="H8" s="547">
        <v>49</v>
      </c>
      <c r="I8" s="548">
        <f t="shared" si="2"/>
        <v>346.9429999999993</v>
      </c>
      <c r="J8" s="549">
        <v>2815.2099999999991</v>
      </c>
      <c r="K8" s="547">
        <v>1518</v>
      </c>
      <c r="L8" s="721">
        <v>769.46799999999996</v>
      </c>
      <c r="M8" s="719" t="s">
        <v>213</v>
      </c>
      <c r="N8" s="551">
        <f t="shared" si="0"/>
        <v>13.772007319999997</v>
      </c>
      <c r="O8" s="444"/>
      <c r="P8" s="489"/>
      <c r="Q8" s="417"/>
      <c r="R8" s="465">
        <f t="shared" si="1"/>
        <v>346.9429999999993</v>
      </c>
      <c r="S8" s="550">
        <v>2468.2669999999998</v>
      </c>
    </row>
    <row r="9" spans="2:19" ht="33" customHeight="1">
      <c r="B9" s="694"/>
      <c r="C9" s="698"/>
      <c r="D9" s="714"/>
      <c r="E9" s="717"/>
      <c r="F9" s="534" t="s">
        <v>243</v>
      </c>
      <c r="G9" s="547">
        <v>46</v>
      </c>
      <c r="H9" s="547">
        <v>7</v>
      </c>
      <c r="I9" s="548">
        <f t="shared" si="2"/>
        <v>39.074999999999989</v>
      </c>
      <c r="J9" s="549">
        <v>422.42700000000002</v>
      </c>
      <c r="K9" s="547">
        <v>231</v>
      </c>
      <c r="L9" s="722"/>
      <c r="M9" s="719"/>
      <c r="N9" s="551">
        <f t="shared" si="0"/>
        <v>2.0665128840000002</v>
      </c>
      <c r="O9" s="444"/>
      <c r="P9" s="489"/>
      <c r="Q9" s="417"/>
      <c r="R9" s="465">
        <f>J9-S9</f>
        <v>39.074999999999989</v>
      </c>
      <c r="S9" s="550">
        <v>383.35200000000003</v>
      </c>
    </row>
    <row r="10" spans="2:19" ht="33" customHeight="1">
      <c r="B10" s="694"/>
      <c r="C10" s="698"/>
      <c r="D10" s="714"/>
      <c r="E10" s="717"/>
      <c r="F10" s="534" t="s">
        <v>244</v>
      </c>
      <c r="G10" s="547">
        <v>20</v>
      </c>
      <c r="H10" s="547">
        <v>0</v>
      </c>
      <c r="I10" s="548">
        <f t="shared" si="2"/>
        <v>0</v>
      </c>
      <c r="J10" s="549">
        <v>0</v>
      </c>
      <c r="K10" s="547">
        <v>0</v>
      </c>
      <c r="L10" s="722"/>
      <c r="M10" s="719"/>
      <c r="N10" s="551">
        <f t="shared" si="0"/>
        <v>0</v>
      </c>
      <c r="O10" s="444"/>
      <c r="P10" s="489"/>
      <c r="Q10" s="417"/>
      <c r="R10" s="465"/>
      <c r="S10" s="550"/>
    </row>
    <row r="11" spans="2:19" ht="33" customHeight="1">
      <c r="B11" s="694"/>
      <c r="C11" s="698"/>
      <c r="D11" s="714"/>
      <c r="E11" s="717"/>
      <c r="F11" s="534" t="s">
        <v>245</v>
      </c>
      <c r="G11" s="547">
        <v>61</v>
      </c>
      <c r="H11" s="547">
        <v>0</v>
      </c>
      <c r="I11" s="548">
        <f t="shared" si="2"/>
        <v>0</v>
      </c>
      <c r="J11" s="549">
        <v>0</v>
      </c>
      <c r="K11" s="547">
        <v>0</v>
      </c>
      <c r="L11" s="722"/>
      <c r="M11" s="719"/>
      <c r="N11" s="551">
        <f t="shared" si="0"/>
        <v>0</v>
      </c>
      <c r="O11" s="444"/>
      <c r="P11" s="489"/>
      <c r="Q11" s="417"/>
      <c r="R11" s="465"/>
      <c r="S11" s="550"/>
    </row>
    <row r="12" spans="2:19" ht="33" customHeight="1">
      <c r="B12" s="694"/>
      <c r="C12" s="698"/>
      <c r="D12" s="715"/>
      <c r="E12" s="718"/>
      <c r="F12" s="534" t="s">
        <v>246</v>
      </c>
      <c r="G12" s="547">
        <v>0</v>
      </c>
      <c r="H12" s="547">
        <v>0</v>
      </c>
      <c r="I12" s="548">
        <f t="shared" si="2"/>
        <v>0</v>
      </c>
      <c r="J12" s="549">
        <v>0</v>
      </c>
      <c r="K12" s="547">
        <v>0</v>
      </c>
      <c r="L12" s="723"/>
      <c r="M12" s="719"/>
      <c r="N12" s="551">
        <f t="shared" si="0"/>
        <v>0</v>
      </c>
      <c r="O12" s="444"/>
      <c r="P12" s="489"/>
      <c r="Q12" s="417"/>
      <c r="R12" s="465"/>
      <c r="S12" s="550"/>
    </row>
    <row r="13" spans="2:19" ht="33" customHeight="1">
      <c r="B13" s="694"/>
      <c r="C13" s="698"/>
      <c r="D13" s="543"/>
      <c r="E13" s="534"/>
      <c r="F13" s="552" t="s">
        <v>6</v>
      </c>
      <c r="G13" s="553">
        <f>SUM(G8:G12)</f>
        <v>304</v>
      </c>
      <c r="H13" s="553">
        <f>SUM(H8:H12)</f>
        <v>56</v>
      </c>
      <c r="I13" s="554">
        <f>SUM(I8:I12)</f>
        <v>386.01799999999929</v>
      </c>
      <c r="J13" s="554">
        <f>SUM(J8:J12)</f>
        <v>3237.6369999999993</v>
      </c>
      <c r="K13" s="553">
        <f>SUM(K8:K12)</f>
        <v>1749</v>
      </c>
      <c r="L13" s="555">
        <f>SUM(L8)</f>
        <v>769.46799999999996</v>
      </c>
      <c r="M13" s="535"/>
      <c r="N13" s="541"/>
      <c r="O13" s="444"/>
      <c r="P13" s="489"/>
      <c r="Q13" s="417"/>
      <c r="R13" s="465"/>
      <c r="S13" s="545"/>
    </row>
    <row r="14" spans="2:19" ht="33" customHeight="1">
      <c r="B14" s="694"/>
      <c r="C14" s="698"/>
      <c r="D14" s="543" t="s">
        <v>126</v>
      </c>
      <c r="E14" s="534">
        <v>292465</v>
      </c>
      <c r="F14" s="534" t="s">
        <v>234</v>
      </c>
      <c r="G14" s="525">
        <v>86</v>
      </c>
      <c r="H14" s="525">
        <v>22</v>
      </c>
      <c r="I14" s="538">
        <f>R14</f>
        <v>106.35000000000002</v>
      </c>
      <c r="J14" s="536">
        <v>837.35</v>
      </c>
      <c r="K14" s="539">
        <v>412</v>
      </c>
      <c r="L14" s="536"/>
      <c r="M14" s="520" t="s">
        <v>226</v>
      </c>
      <c r="N14" s="541">
        <f t="shared" si="0"/>
        <v>4.0963162000000004</v>
      </c>
      <c r="O14" s="444"/>
      <c r="P14" s="489"/>
      <c r="Q14" s="417"/>
      <c r="R14" s="465">
        <f t="shared" si="1"/>
        <v>106.35000000000002</v>
      </c>
      <c r="S14" s="488">
        <v>731</v>
      </c>
    </row>
    <row r="15" spans="2:19" ht="33" customHeight="1" thickBot="1">
      <c r="B15" s="694"/>
      <c r="C15" s="698"/>
      <c r="D15" s="544" t="s">
        <v>90</v>
      </c>
      <c r="E15" s="533">
        <v>92045</v>
      </c>
      <c r="F15" s="533" t="s">
        <v>235</v>
      </c>
      <c r="G15" s="526"/>
      <c r="H15" s="526"/>
      <c r="I15" s="538">
        <f t="shared" ref="I15" si="3">R15</f>
        <v>0</v>
      </c>
      <c r="J15" s="537"/>
      <c r="K15" s="540"/>
      <c r="L15" s="537">
        <v>111.5</v>
      </c>
      <c r="M15" s="535" t="s">
        <v>223</v>
      </c>
      <c r="N15" s="541">
        <f t="shared" si="0"/>
        <v>0</v>
      </c>
      <c r="O15" s="470"/>
      <c r="P15" s="471"/>
      <c r="Q15" s="416"/>
      <c r="R15" s="465">
        <f t="shared" si="1"/>
        <v>0</v>
      </c>
      <c r="S15" s="423"/>
    </row>
    <row r="16" spans="2:19" ht="43.5" customHeight="1" thickBot="1">
      <c r="B16" s="695"/>
      <c r="C16" s="699"/>
      <c r="D16" s="514" t="s">
        <v>6</v>
      </c>
      <c r="E16" s="506">
        <f>SUM(E5:E15)</f>
        <v>3223616</v>
      </c>
      <c r="F16" s="506"/>
      <c r="G16" s="527">
        <f>G15+G14+G13+G7+G6+G5</f>
        <v>875</v>
      </c>
      <c r="H16" s="527">
        <f>H15+H14+H13+H7+H6+H5</f>
        <v>265</v>
      </c>
      <c r="I16" s="546">
        <f>I15+I14+I13+I7+I6+I5</f>
        <v>1950.4279999999983</v>
      </c>
      <c r="J16" s="546">
        <f t="shared" ref="J16:N16" si="4">J15+J14+J13+J7+J6+J5</f>
        <v>33660.65</v>
      </c>
      <c r="K16" s="527">
        <f t="shared" si="4"/>
        <v>19507</v>
      </c>
      <c r="L16" s="546">
        <f t="shared" si="4"/>
        <v>6963.2179999999998</v>
      </c>
      <c r="M16" s="527"/>
      <c r="N16" s="546">
        <f t="shared" si="4"/>
        <v>148.829379596</v>
      </c>
      <c r="O16" s="454"/>
      <c r="P16" s="452"/>
      <c r="Q16" s="416"/>
      <c r="R16" s="449"/>
      <c r="S16" s="265">
        <v>0</v>
      </c>
    </row>
    <row r="17" spans="2:17" ht="38.25" hidden="1" customHeight="1">
      <c r="E17" s="11"/>
      <c r="F17" s="11"/>
      <c r="G17" s="11"/>
      <c r="H17" s="11"/>
    </row>
    <row r="18" spans="2:17">
      <c r="J18" s="3"/>
    </row>
    <row r="19" spans="2:17" ht="39.75" hidden="1" customHeight="1">
      <c r="B19" s="710" t="s">
        <v>249</v>
      </c>
      <c r="C19" s="710"/>
      <c r="D19" s="710"/>
      <c r="E19" s="710"/>
      <c r="F19" s="710"/>
      <c r="G19" s="710"/>
      <c r="H19" s="710"/>
      <c r="I19" s="710"/>
      <c r="J19" s="710"/>
      <c r="K19" s="710"/>
      <c r="L19" s="710"/>
      <c r="M19" s="710"/>
      <c r="N19" s="710"/>
    </row>
    <row r="20" spans="2:17" ht="15.75" hidden="1" thickBot="1"/>
    <row r="21" spans="2:17" ht="72" hidden="1">
      <c r="E21" s="498" t="s">
        <v>240</v>
      </c>
      <c r="F21" s="498" t="s">
        <v>241</v>
      </c>
      <c r="G21" s="498" t="s">
        <v>247</v>
      </c>
      <c r="H21" s="498" t="s">
        <v>248</v>
      </c>
      <c r="I21" s="498" t="s">
        <v>250</v>
      </c>
      <c r="K21" s="3"/>
    </row>
    <row r="22" spans="2:17" s="163" customFormat="1" ht="27" hidden="1" customHeight="1">
      <c r="E22" s="711" t="s">
        <v>127</v>
      </c>
      <c r="F22" s="276" t="s">
        <v>242</v>
      </c>
      <c r="G22" s="276">
        <v>185</v>
      </c>
      <c r="H22" s="276">
        <v>177</v>
      </c>
      <c r="I22" s="522">
        <v>1566.8667</v>
      </c>
      <c r="O22" s="441"/>
      <c r="P22" s="523"/>
      <c r="Q22" s="523"/>
    </row>
    <row r="23" spans="2:17" s="163" customFormat="1" ht="27" hidden="1" customHeight="1">
      <c r="E23" s="711"/>
      <c r="F23" s="276" t="s">
        <v>243</v>
      </c>
      <c r="G23" s="276">
        <v>46</v>
      </c>
      <c r="H23" s="276">
        <v>46</v>
      </c>
      <c r="I23" s="522">
        <v>246.58</v>
      </c>
      <c r="O23" s="441"/>
      <c r="P23" s="523"/>
      <c r="Q23" s="523"/>
    </row>
    <row r="24" spans="2:17" s="163" customFormat="1" ht="27" hidden="1" customHeight="1">
      <c r="E24" s="711"/>
      <c r="F24" s="276" t="s">
        <v>244</v>
      </c>
      <c r="G24" s="276">
        <v>44</v>
      </c>
      <c r="H24" s="276">
        <v>20</v>
      </c>
      <c r="I24" s="522">
        <v>0</v>
      </c>
      <c r="O24" s="441"/>
      <c r="P24" s="523"/>
      <c r="Q24" s="523"/>
    </row>
    <row r="25" spans="2:17" s="163" customFormat="1" ht="27" hidden="1" customHeight="1">
      <c r="E25" s="711"/>
      <c r="F25" s="276" t="s">
        <v>245</v>
      </c>
      <c r="G25" s="276">
        <v>64</v>
      </c>
      <c r="H25" s="276">
        <v>61</v>
      </c>
      <c r="I25" s="522">
        <v>0</v>
      </c>
      <c r="O25" s="441"/>
      <c r="P25" s="523"/>
      <c r="Q25" s="523"/>
    </row>
    <row r="26" spans="2:17" s="163" customFormat="1" ht="27" hidden="1" customHeight="1">
      <c r="E26" s="711"/>
      <c r="F26" s="276" t="s">
        <v>246</v>
      </c>
      <c r="G26" s="276">
        <v>30</v>
      </c>
      <c r="H26" s="276">
        <v>0</v>
      </c>
      <c r="I26" s="522">
        <v>0</v>
      </c>
      <c r="O26" s="441"/>
      <c r="P26" s="523"/>
      <c r="Q26" s="523"/>
    </row>
    <row r="27" spans="2:17" s="163" customFormat="1" ht="27" hidden="1" customHeight="1">
      <c r="E27" s="276"/>
      <c r="F27" s="276" t="s">
        <v>6</v>
      </c>
      <c r="G27" s="276">
        <f>SUM(G22:G26)</f>
        <v>369</v>
      </c>
      <c r="H27" s="276">
        <f>SUM(H22:H26)</f>
        <v>304</v>
      </c>
      <c r="I27" s="522">
        <f>SUM(I22:I26)</f>
        <v>1813.4467</v>
      </c>
      <c r="O27" s="441"/>
      <c r="P27" s="523"/>
      <c r="Q27" s="523"/>
    </row>
    <row r="28" spans="2:17" hidden="1"/>
    <row r="29" spans="2:17" hidden="1"/>
  </sheetData>
  <mergeCells count="11">
    <mergeCell ref="G1:I1"/>
    <mergeCell ref="E22:E26"/>
    <mergeCell ref="D8:D12"/>
    <mergeCell ref="E8:E12"/>
    <mergeCell ref="M8:M12"/>
    <mergeCell ref="B2:P2"/>
    <mergeCell ref="M3:N3"/>
    <mergeCell ref="B5:B16"/>
    <mergeCell ref="C5:C16"/>
    <mergeCell ref="B19:N19"/>
    <mergeCell ref="L8:L12"/>
  </mergeCells>
  <printOptions horizontalCentered="1"/>
  <pageMargins left="0.43307086614173229" right="0.23622047244094491" top="0.79" bottom="0.47244094488188981" header="0.15748031496062992" footer="0.47244094488188981"/>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Kharif-2023</vt:lpstr>
      <vt:lpstr>Sheet2 (2)</vt:lpstr>
      <vt:lpstr>Consolidated Rabi -24</vt:lpstr>
      <vt:lpstr>Sheet2</vt:lpstr>
      <vt:lpstr>Sheet3</vt:lpstr>
      <vt:lpstr>Consolidated Rabi -24 (3)</vt:lpstr>
      <vt:lpstr>Consolidated Kharif-2024</vt:lpstr>
      <vt:lpstr>Soyabean -24</vt:lpstr>
      <vt:lpstr>Soyabean -24 (2)</vt:lpstr>
      <vt:lpstr>Soyabean -24 (3)</vt:lpstr>
      <vt:lpstr>Consolidated Kharif -23 </vt:lpstr>
      <vt:lpstr>'Consolidated Kharif -23 '!Print_Area</vt:lpstr>
      <vt:lpstr>'Consolidated Kharif-2024'!Print_Area</vt:lpstr>
      <vt:lpstr>'Consolidated Rabi -24'!Print_Area</vt:lpstr>
      <vt:lpstr>'Consolidated Rabi -24 (3)'!Print_Area</vt:lpstr>
      <vt:lpstr>'Kharif-2023'!Print_Area</vt:lpstr>
      <vt:lpstr>'Soyabean -24'!Print_Area</vt:lpstr>
      <vt:lpstr>'Soyabean -24 (2)'!Print_Area</vt:lpstr>
      <vt:lpstr>'Soyabean -24 (3)'!Print_Area</vt:lpstr>
      <vt:lpstr>'Consolidated Kharif -23 '!Print_Titles</vt:lpstr>
      <vt:lpstr>'Consolidated Kharif-2024'!Print_Titles</vt:lpstr>
      <vt:lpstr>'Consolidated Rabi -24'!Print_Titles</vt:lpstr>
      <vt:lpstr>'Consolidated Rabi -24 (3)'!Print_Titles</vt:lpstr>
      <vt:lpstr>'Kharif-2023'!Print_Titles</vt:lpstr>
      <vt:lpstr>'Soyabean -24'!Print_Titles</vt:lpstr>
      <vt:lpstr>'Soyabean -24 (2)'!Print_Titles</vt:lpstr>
      <vt:lpstr>'Soyabean -24 (3)'!Print_Titles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2025-01-08T11:44:47Z</dcterms:modified>
</cp:coreProperties>
</file>